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240" windowHeight="12600" firstSheet="2" activeTab="2"/>
  </bookViews>
  <sheets>
    <sheet name="Sheet1" sheetId="1" state="hidden" r:id="rId1"/>
    <sheet name="五险一金计算" sheetId="2" state="hidden" r:id="rId2"/>
    <sheet name="计划表" sheetId="3" r:id="rId3"/>
    <sheet name="名册" sheetId="4" state="hidden" r:id="rId4"/>
    <sheet name="参数表" sheetId="5" state="hidden" r:id="rId5"/>
    <sheet name="月工资" sheetId="6" state="hidden" r:id="rId6"/>
    <sheet name="Sheet2" sheetId="7" r:id="rId7"/>
    <sheet name="Sheet3" sheetId="8" r:id="rId8"/>
  </sheets>
  <definedNames>
    <definedName name="_xlnm._FilterDatabase" localSheetId="0" hidden="1">Sheet1!$A$1:$I$111</definedName>
    <definedName name="_xlnm._FilterDatabase" localSheetId="2" hidden="1">计划表!$C$3:$C$62</definedName>
    <definedName name="_xlnm._FilterDatabase" localSheetId="3" hidden="1">名册!$A$2:$P$80</definedName>
    <definedName name="_xlnm.Print_Area" localSheetId="1">五险一金计算!$C$2:$K$7</definedName>
    <definedName name="_xlnm.Print_Area" localSheetId="5">月工资!$A$1:$K$10</definedName>
    <definedName name="_xlnm.Print_Titles" localSheetId="2">计划表!$1:$3</definedName>
    <definedName name="_xlnm.Print_Titles" localSheetId="3">名册!$2:3</definedName>
  </definedNames>
  <calcPr calcId="124519"/>
</workbook>
</file>

<file path=xl/calcChain.xml><?xml version="1.0" encoding="utf-8"?>
<calcChain xmlns="http://schemas.openxmlformats.org/spreadsheetml/2006/main">
  <c r="C62" i="3"/>
  <c r="C52"/>
  <c r="C34"/>
  <c r="C23"/>
  <c r="C19"/>
  <c r="C17"/>
  <c r="C7"/>
  <c r="C4" s="1"/>
  <c r="L9" i="6"/>
  <c r="K9"/>
  <c r="J9"/>
  <c r="I9"/>
  <c r="H9"/>
  <c r="G9"/>
  <c r="F9"/>
  <c r="E9"/>
  <c r="D9"/>
  <c r="C9"/>
  <c r="Q8"/>
  <c r="O8"/>
  <c r="L8"/>
  <c r="K8"/>
  <c r="J8"/>
  <c r="I8"/>
  <c r="H8"/>
  <c r="G8"/>
  <c r="F8"/>
  <c r="E8"/>
  <c r="D8"/>
  <c r="C8"/>
  <c r="Q7"/>
  <c r="O7"/>
  <c r="L7"/>
  <c r="K7"/>
  <c r="J7"/>
  <c r="I7"/>
  <c r="H7"/>
  <c r="G7"/>
  <c r="F7"/>
  <c r="E7"/>
  <c r="D7"/>
  <c r="C7"/>
  <c r="Q6"/>
  <c r="O6"/>
  <c r="L6"/>
  <c r="K6"/>
  <c r="J6"/>
  <c r="I6"/>
  <c r="H6"/>
  <c r="G6"/>
  <c r="F6"/>
  <c r="E6"/>
  <c r="D6"/>
  <c r="C6"/>
  <c r="Q5"/>
  <c r="O5"/>
  <c r="L5"/>
  <c r="K5"/>
  <c r="J5"/>
  <c r="I5"/>
  <c r="H5"/>
  <c r="G5"/>
  <c r="F5"/>
  <c r="E5"/>
  <c r="D5"/>
  <c r="C5"/>
  <c r="Q4"/>
  <c r="O4"/>
  <c r="L4"/>
  <c r="K4"/>
  <c r="J4"/>
  <c r="I4"/>
  <c r="H4"/>
  <c r="G4"/>
  <c r="F4"/>
  <c r="E4"/>
  <c r="D4"/>
  <c r="C4"/>
  <c r="A1"/>
  <c r="P80" i="4"/>
  <c r="N80"/>
  <c r="L80"/>
  <c r="K80"/>
  <c r="J80"/>
  <c r="I80"/>
  <c r="H80"/>
  <c r="G80"/>
  <c r="P79"/>
  <c r="N79"/>
  <c r="L79"/>
  <c r="K79"/>
  <c r="J79"/>
  <c r="I79"/>
  <c r="H79"/>
  <c r="G79"/>
  <c r="P78"/>
  <c r="N78"/>
  <c r="L78"/>
  <c r="K78"/>
  <c r="J78"/>
  <c r="I78"/>
  <c r="H78"/>
  <c r="G78"/>
  <c r="P77"/>
  <c r="N77"/>
  <c r="L77"/>
  <c r="K77"/>
  <c r="J77"/>
  <c r="I77"/>
  <c r="H77"/>
  <c r="G77"/>
  <c r="P76"/>
  <c r="N76"/>
  <c r="L76"/>
  <c r="K76"/>
  <c r="J76"/>
  <c r="I76"/>
  <c r="H76"/>
  <c r="G76"/>
  <c r="P75"/>
  <c r="N75"/>
  <c r="L75"/>
  <c r="K75"/>
  <c r="J75"/>
  <c r="I75"/>
  <c r="H75"/>
  <c r="G75"/>
  <c r="P74"/>
  <c r="N74"/>
  <c r="L74"/>
  <c r="K74"/>
  <c r="J74"/>
  <c r="I74"/>
  <c r="H74"/>
  <c r="G74"/>
  <c r="P73"/>
  <c r="N73"/>
  <c r="L73"/>
  <c r="K73"/>
  <c r="J73"/>
  <c r="I73"/>
  <c r="H73"/>
  <c r="G73"/>
  <c r="P72"/>
  <c r="N72"/>
  <c r="L72"/>
  <c r="K72"/>
  <c r="J72"/>
  <c r="I72"/>
  <c r="H72"/>
  <c r="G72"/>
  <c r="P71"/>
  <c r="N71"/>
  <c r="L71"/>
  <c r="K71"/>
  <c r="J71"/>
  <c r="I71"/>
  <c r="H71"/>
  <c r="G71"/>
  <c r="P70"/>
  <c r="N70"/>
  <c r="L70"/>
  <c r="K70"/>
  <c r="J70"/>
  <c r="I70"/>
  <c r="H70"/>
  <c r="G70"/>
  <c r="P69"/>
  <c r="N69"/>
  <c r="L69"/>
  <c r="K69"/>
  <c r="J69"/>
  <c r="I69"/>
  <c r="H69"/>
  <c r="G69"/>
  <c r="P68"/>
  <c r="N68"/>
  <c r="L68"/>
  <c r="K68"/>
  <c r="J68"/>
  <c r="I68"/>
  <c r="H68"/>
  <c r="G68"/>
  <c r="P67"/>
  <c r="N67"/>
  <c r="L67"/>
  <c r="K67"/>
  <c r="J67"/>
  <c r="I67"/>
  <c r="H67"/>
  <c r="G67"/>
  <c r="P66"/>
  <c r="N66"/>
  <c r="L66"/>
  <c r="K66"/>
  <c r="J66"/>
  <c r="I66"/>
  <c r="H66"/>
  <c r="G66"/>
  <c r="P65"/>
  <c r="N65"/>
  <c r="L65"/>
  <c r="K65"/>
  <c r="J65"/>
  <c r="I65"/>
  <c r="H65"/>
  <c r="G65"/>
  <c r="P64"/>
  <c r="N64"/>
  <c r="L64"/>
  <c r="K64"/>
  <c r="J64"/>
  <c r="I64"/>
  <c r="H64"/>
  <c r="G64"/>
  <c r="P63"/>
  <c r="N63"/>
  <c r="L63"/>
  <c r="K63"/>
  <c r="J63"/>
  <c r="I63"/>
  <c r="H63"/>
  <c r="G63"/>
  <c r="P62"/>
  <c r="N62"/>
  <c r="L62"/>
  <c r="K62"/>
  <c r="J62"/>
  <c r="I62"/>
  <c r="H62"/>
  <c r="G62"/>
  <c r="P61"/>
  <c r="N61"/>
  <c r="L61"/>
  <c r="K61"/>
  <c r="J61"/>
  <c r="I61"/>
  <c r="H61"/>
  <c r="G61"/>
  <c r="P60"/>
  <c r="N60"/>
  <c r="L60"/>
  <c r="K60"/>
  <c r="J60"/>
  <c r="I60"/>
  <c r="H60"/>
  <c r="G60"/>
  <c r="P59"/>
  <c r="N59"/>
  <c r="L59"/>
  <c r="K59"/>
  <c r="J59"/>
  <c r="I59"/>
  <c r="H59"/>
  <c r="G59"/>
  <c r="P58"/>
  <c r="N58"/>
  <c r="L58"/>
  <c r="K58"/>
  <c r="J58"/>
  <c r="I58"/>
  <c r="H58"/>
  <c r="G58"/>
  <c r="P57"/>
  <c r="N57"/>
  <c r="L57"/>
  <c r="K57"/>
  <c r="J57"/>
  <c r="I57"/>
  <c r="H57"/>
  <c r="G57"/>
  <c r="P56"/>
  <c r="N56"/>
  <c r="L56"/>
  <c r="K56"/>
  <c r="J56"/>
  <c r="I56"/>
  <c r="H56"/>
  <c r="G56"/>
  <c r="P55"/>
  <c r="N55"/>
  <c r="L55"/>
  <c r="K55"/>
  <c r="J55"/>
  <c r="I55"/>
  <c r="H55"/>
  <c r="G55"/>
  <c r="P54"/>
  <c r="N54"/>
  <c r="L54"/>
  <c r="K54"/>
  <c r="J54"/>
  <c r="I54"/>
  <c r="H54"/>
  <c r="G54"/>
  <c r="P53"/>
  <c r="N53"/>
  <c r="L53"/>
  <c r="K53"/>
  <c r="J53"/>
  <c r="I53"/>
  <c r="H53"/>
  <c r="G53"/>
  <c r="P52"/>
  <c r="N52"/>
  <c r="L52"/>
  <c r="K52"/>
  <c r="J52"/>
  <c r="I52"/>
  <c r="H52"/>
  <c r="G52"/>
  <c r="P51"/>
  <c r="N51"/>
  <c r="L51"/>
  <c r="K51"/>
  <c r="J51"/>
  <c r="I51"/>
  <c r="H51"/>
  <c r="G51"/>
  <c r="P50"/>
  <c r="N50"/>
  <c r="L50"/>
  <c r="K50"/>
  <c r="J50"/>
  <c r="I50"/>
  <c r="H50"/>
  <c r="G50"/>
  <c r="P49"/>
  <c r="N49"/>
  <c r="L49"/>
  <c r="K49"/>
  <c r="J49"/>
  <c r="I49"/>
  <c r="H49"/>
  <c r="G49"/>
  <c r="P48"/>
  <c r="N48"/>
  <c r="L48"/>
  <c r="K48"/>
  <c r="J48"/>
  <c r="I48"/>
  <c r="H48"/>
  <c r="G48"/>
  <c r="P47"/>
  <c r="N47"/>
  <c r="L47"/>
  <c r="K47"/>
  <c r="J47"/>
  <c r="I47"/>
  <c r="H47"/>
  <c r="G47"/>
  <c r="P46"/>
  <c r="N46"/>
  <c r="L46"/>
  <c r="K46"/>
  <c r="J46"/>
  <c r="I46"/>
  <c r="H46"/>
  <c r="G46"/>
  <c r="P45"/>
  <c r="N45"/>
  <c r="L45"/>
  <c r="K45"/>
  <c r="J45"/>
  <c r="I45"/>
  <c r="H45"/>
  <c r="G45"/>
  <c r="P44"/>
  <c r="N44"/>
  <c r="L44"/>
  <c r="K44"/>
  <c r="J44"/>
  <c r="I44"/>
  <c r="H44"/>
  <c r="G44"/>
  <c r="P43"/>
  <c r="N43"/>
  <c r="L43"/>
  <c r="K43"/>
  <c r="J43"/>
  <c r="I43"/>
  <c r="H43"/>
  <c r="G43"/>
  <c r="P42"/>
  <c r="N42"/>
  <c r="L42"/>
  <c r="K42"/>
  <c r="J42"/>
  <c r="I42"/>
  <c r="H42"/>
  <c r="G42"/>
  <c r="P41"/>
  <c r="N41"/>
  <c r="L41"/>
  <c r="K41"/>
  <c r="J41"/>
  <c r="I41"/>
  <c r="H41"/>
  <c r="G41"/>
  <c r="P40"/>
  <c r="N40"/>
  <c r="L40"/>
  <c r="K40"/>
  <c r="J40"/>
  <c r="I40"/>
  <c r="H40"/>
  <c r="G40"/>
  <c r="P39"/>
  <c r="N39"/>
  <c r="L39"/>
  <c r="K39"/>
  <c r="J39"/>
  <c r="I39"/>
  <c r="H39"/>
  <c r="G39"/>
  <c r="P38"/>
  <c r="N38"/>
  <c r="L38"/>
  <c r="K38"/>
  <c r="J38"/>
  <c r="I38"/>
  <c r="H38"/>
  <c r="G38"/>
  <c r="P37"/>
  <c r="N37"/>
  <c r="L37"/>
  <c r="K37"/>
  <c r="J37"/>
  <c r="I37"/>
  <c r="H37"/>
  <c r="G37"/>
  <c r="P36"/>
  <c r="N36"/>
  <c r="L36"/>
  <c r="K36"/>
  <c r="J36"/>
  <c r="I36"/>
  <c r="H36"/>
  <c r="G36"/>
  <c r="P35"/>
  <c r="N35"/>
  <c r="L35"/>
  <c r="K35"/>
  <c r="J35"/>
  <c r="I35"/>
  <c r="H35"/>
  <c r="G35"/>
  <c r="P34"/>
  <c r="N34"/>
  <c r="L34"/>
  <c r="K34"/>
  <c r="J34"/>
  <c r="I34"/>
  <c r="H34"/>
  <c r="G34"/>
  <c r="P33"/>
  <c r="N33"/>
  <c r="L33"/>
  <c r="K33"/>
  <c r="J33"/>
  <c r="I33"/>
  <c r="H33"/>
  <c r="G33"/>
  <c r="P32"/>
  <c r="N32"/>
  <c r="L32"/>
  <c r="K32"/>
  <c r="J32"/>
  <c r="I32"/>
  <c r="H32"/>
  <c r="G32"/>
  <c r="P31"/>
  <c r="N31"/>
  <c r="L31"/>
  <c r="K31"/>
  <c r="J31"/>
  <c r="I31"/>
  <c r="H31"/>
  <c r="G31"/>
  <c r="P30"/>
  <c r="N30"/>
  <c r="L30"/>
  <c r="K30"/>
  <c r="J30"/>
  <c r="I30"/>
  <c r="H30"/>
  <c r="G30"/>
  <c r="P29"/>
  <c r="N29"/>
  <c r="L29"/>
  <c r="K29"/>
  <c r="J29"/>
  <c r="I29"/>
  <c r="H29"/>
  <c r="G29"/>
  <c r="P28"/>
  <c r="N28"/>
  <c r="L28"/>
  <c r="K28"/>
  <c r="J28"/>
  <c r="I28"/>
  <c r="H28"/>
  <c r="G28"/>
  <c r="P27"/>
  <c r="N27"/>
  <c r="L27"/>
  <c r="K27"/>
  <c r="J27"/>
  <c r="I27"/>
  <c r="H27"/>
  <c r="G27"/>
  <c r="P26"/>
  <c r="N26"/>
  <c r="L26"/>
  <c r="K26"/>
  <c r="J26"/>
  <c r="I26"/>
  <c r="H26"/>
  <c r="G26"/>
  <c r="P25"/>
  <c r="N25"/>
  <c r="L25"/>
  <c r="K25"/>
  <c r="J25"/>
  <c r="I25"/>
  <c r="H25"/>
  <c r="G25"/>
  <c r="P24"/>
  <c r="N24"/>
  <c r="L24"/>
  <c r="K24"/>
  <c r="J24"/>
  <c r="I24"/>
  <c r="H24"/>
  <c r="G24"/>
  <c r="P23"/>
  <c r="N23"/>
  <c r="L23"/>
  <c r="K23"/>
  <c r="J23"/>
  <c r="I23"/>
  <c r="H23"/>
  <c r="G23"/>
  <c r="P22"/>
  <c r="N22"/>
  <c r="L22"/>
  <c r="K22"/>
  <c r="J22"/>
  <c r="I22"/>
  <c r="H22"/>
  <c r="G22"/>
  <c r="P21"/>
  <c r="N21"/>
  <c r="L21"/>
  <c r="K21"/>
  <c r="J21"/>
  <c r="I21"/>
  <c r="H21"/>
  <c r="G21"/>
  <c r="P20"/>
  <c r="N20"/>
  <c r="L20"/>
  <c r="K20"/>
  <c r="J20"/>
  <c r="I20"/>
  <c r="H20"/>
  <c r="G20"/>
  <c r="P19"/>
  <c r="N19"/>
  <c r="L19"/>
  <c r="K19"/>
  <c r="J19"/>
  <c r="I19"/>
  <c r="H19"/>
  <c r="G19"/>
  <c r="P18"/>
  <c r="N18"/>
  <c r="L18"/>
  <c r="K18"/>
  <c r="J18"/>
  <c r="I18"/>
  <c r="H18"/>
  <c r="G18"/>
  <c r="P17"/>
  <c r="N17"/>
  <c r="L17"/>
  <c r="K17"/>
  <c r="J17"/>
  <c r="I17"/>
  <c r="H17"/>
  <c r="G17"/>
  <c r="P16"/>
  <c r="N16"/>
  <c r="L16"/>
  <c r="K16"/>
  <c r="J16"/>
  <c r="I16"/>
  <c r="H16"/>
  <c r="G16"/>
  <c r="P15"/>
  <c r="N15"/>
  <c r="L15"/>
  <c r="K15"/>
  <c r="J15"/>
  <c r="I15"/>
  <c r="H15"/>
  <c r="G15"/>
  <c r="P14"/>
  <c r="N14"/>
  <c r="L14"/>
  <c r="K14"/>
  <c r="J14"/>
  <c r="I14"/>
  <c r="H14"/>
  <c r="G14"/>
  <c r="P13"/>
  <c r="N13"/>
  <c r="L13"/>
  <c r="K13"/>
  <c r="J13"/>
  <c r="I13"/>
  <c r="H13"/>
  <c r="G13"/>
  <c r="P12"/>
  <c r="N12"/>
  <c r="L12"/>
  <c r="K12"/>
  <c r="J12"/>
  <c r="I12"/>
  <c r="H12"/>
  <c r="G12"/>
  <c r="P11"/>
  <c r="N11"/>
  <c r="L11"/>
  <c r="K11"/>
  <c r="J11"/>
  <c r="I11"/>
  <c r="H11"/>
  <c r="G11"/>
  <c r="P10"/>
  <c r="N10"/>
  <c r="L10"/>
  <c r="K10"/>
  <c r="J10"/>
  <c r="I10"/>
  <c r="H10"/>
  <c r="G10"/>
  <c r="P9"/>
  <c r="N9"/>
  <c r="L9"/>
  <c r="K9"/>
  <c r="J9"/>
  <c r="I9"/>
  <c r="H9"/>
  <c r="G9"/>
  <c r="P8"/>
  <c r="N8"/>
  <c r="L8"/>
  <c r="K8"/>
  <c r="J8"/>
  <c r="I8"/>
  <c r="H8"/>
  <c r="G8"/>
  <c r="P7"/>
  <c r="N7"/>
  <c r="L7"/>
  <c r="K7"/>
  <c r="J7"/>
  <c r="I7"/>
  <c r="H7"/>
  <c r="G7"/>
  <c r="P6"/>
  <c r="N6"/>
  <c r="L6"/>
  <c r="K6"/>
  <c r="J6"/>
  <c r="I6"/>
  <c r="H6"/>
  <c r="G6"/>
  <c r="P5"/>
  <c r="N5"/>
  <c r="L5"/>
  <c r="K5"/>
  <c r="J5"/>
  <c r="I5"/>
  <c r="H5"/>
  <c r="G5"/>
  <c r="P4"/>
  <c r="N4"/>
  <c r="L4"/>
  <c r="K4"/>
  <c r="J4"/>
  <c r="I4"/>
  <c r="H4"/>
  <c r="G4"/>
  <c r="P3"/>
  <c r="N3"/>
  <c r="M3"/>
  <c r="L3"/>
  <c r="K3"/>
  <c r="J3"/>
  <c r="I3"/>
  <c r="K6" i="2"/>
  <c r="J6"/>
  <c r="I6"/>
  <c r="H6"/>
  <c r="G6"/>
  <c r="F6"/>
  <c r="E6"/>
  <c r="D6"/>
  <c r="J5"/>
  <c r="H5"/>
  <c r="G5"/>
  <c r="F5"/>
  <c r="E5"/>
  <c r="D5"/>
  <c r="B5"/>
  <c r="F111" i="1"/>
  <c r="F110"/>
  <c r="D110"/>
  <c r="B110"/>
  <c r="D109"/>
  <c r="B109"/>
  <c r="D99"/>
  <c r="B99"/>
  <c r="D85"/>
  <c r="B85"/>
  <c r="D67"/>
  <c r="B67"/>
  <c r="D55"/>
  <c r="B55"/>
  <c r="D45"/>
  <c r="B45"/>
  <c r="D37"/>
  <c r="B37"/>
  <c r="D31"/>
  <c r="B31"/>
  <c r="D15"/>
  <c r="B15"/>
</calcChain>
</file>

<file path=xl/comments1.xml><?xml version="1.0" encoding="utf-8"?>
<comments xmlns="http://schemas.openxmlformats.org/spreadsheetml/2006/main">
  <authors>
    <author>安中国</author>
  </authors>
  <commentList>
    <comment ref="J3" authorId="0">
      <text>
        <r>
          <rPr>
            <sz val="9"/>
            <rFont val="宋体"/>
            <charset val="134"/>
          </rPr>
          <t>安中国:
单位核算。</t>
        </r>
      </text>
    </comment>
  </commentList>
</comments>
</file>

<file path=xl/comments2.xml><?xml version="1.0" encoding="utf-8"?>
<comments xmlns="http://schemas.openxmlformats.org/spreadsheetml/2006/main">
  <authors>
    <author>安中国</author>
  </authors>
  <commentList>
    <comment ref="M2" authorId="0">
      <text>
        <r>
          <rPr>
            <sz val="9"/>
            <rFont val="宋体"/>
            <charset val="134"/>
          </rPr>
          <t xml:space="preserve">安中国:
根据总人数的20%确定优秀人数，增发年终奖金的三分之一。
</t>
        </r>
      </text>
    </comment>
    <comment ref="M3" authorId="0">
      <text>
        <r>
          <rPr>
            <sz val="9"/>
            <rFont val="宋体"/>
            <charset val="134"/>
          </rPr>
          <t>安中国:
按人数的20%比例计算出优秀人数，乘以年终奖金平均值的三分之一，为全年优秀奖金。</t>
        </r>
      </text>
    </comment>
  </commentList>
</comments>
</file>

<file path=xl/comments3.xml><?xml version="1.0" encoding="utf-8"?>
<comments xmlns="http://schemas.openxmlformats.org/spreadsheetml/2006/main">
  <authors>
    <author>安中国</author>
  </authors>
  <commentList>
    <comment ref="B14" authorId="0">
      <text>
        <r>
          <rPr>
            <sz val="9"/>
            <rFont val="宋体"/>
            <charset val="134"/>
          </rPr>
          <t>安中国:
地区选择。自动生成平均工资标准</t>
        </r>
      </text>
    </comment>
  </commentList>
</comments>
</file>

<file path=xl/sharedStrings.xml><?xml version="1.0" encoding="utf-8"?>
<sst xmlns="http://schemas.openxmlformats.org/spreadsheetml/2006/main" count="967" uniqueCount="471">
  <si>
    <t>单位</t>
  </si>
  <si>
    <t>核定员额</t>
  </si>
  <si>
    <t>检察院</t>
  </si>
  <si>
    <t>另有150个名额未分配</t>
  </si>
  <si>
    <t>省法院、检察院</t>
  </si>
  <si>
    <t>省法院</t>
  </si>
  <si>
    <t>高院</t>
  </si>
  <si>
    <t>贵州省人民检察院</t>
  </si>
  <si>
    <t>贵阳铁路运输法院、检察院</t>
  </si>
  <si>
    <t>贵阳铁路运输法院</t>
  </si>
  <si>
    <t>基层</t>
  </si>
  <si>
    <t>贵阳铁路运输检察院</t>
  </si>
  <si>
    <t>贵阳市中级</t>
  </si>
  <si>
    <t>贵阳市中级人民法院</t>
  </si>
  <si>
    <t>中院</t>
  </si>
  <si>
    <t>贵阳市</t>
  </si>
  <si>
    <t>贵阳市云岩区</t>
  </si>
  <si>
    <t>贵阳市云岩区人民法院</t>
  </si>
  <si>
    <t>贵阳市云岩区人民检察院</t>
  </si>
  <si>
    <t>贵阳市南明区</t>
  </si>
  <si>
    <t>贵阳市南明区人民法院</t>
  </si>
  <si>
    <t>贵阳市南明区人民检察院</t>
  </si>
  <si>
    <t>贵阳市花溪区</t>
  </si>
  <si>
    <t>贵阳市花溪区人民法院</t>
  </si>
  <si>
    <t>贵阳市花溪区人民检察院</t>
  </si>
  <si>
    <t>贵阳市乌当区</t>
  </si>
  <si>
    <t>贵阳市乌当区人民法院</t>
  </si>
  <si>
    <t>贵阳市乌当区人民检察院</t>
  </si>
  <si>
    <t>贵阳市白云区</t>
  </si>
  <si>
    <t>贵阳市白云区人民法院</t>
  </si>
  <si>
    <t>贵阳市白云区人民检察院</t>
  </si>
  <si>
    <t>贵阳市观山湖区</t>
  </si>
  <si>
    <t>贵阳市观山湖区人民法院</t>
  </si>
  <si>
    <t>贵阳市观山湖区人民检察院</t>
  </si>
  <si>
    <t>清镇市</t>
  </si>
  <si>
    <t>清镇市人民法院</t>
  </si>
  <si>
    <t>清镇市人民检察院</t>
  </si>
  <si>
    <t>修文县</t>
  </si>
  <si>
    <t>修文县人民法院</t>
  </si>
  <si>
    <t>修文县人民检察院</t>
  </si>
  <si>
    <t>息烽县</t>
  </si>
  <si>
    <t>息烽县人民法院</t>
  </si>
  <si>
    <t>息烽县人民检察院</t>
  </si>
  <si>
    <t>开阳县</t>
  </si>
  <si>
    <t>开阳县人民法院</t>
  </si>
  <si>
    <t>开阳县人民检察院</t>
  </si>
  <si>
    <t>遵义市中级</t>
  </si>
  <si>
    <t>遵义市中级人民法院</t>
  </si>
  <si>
    <t>遵义市</t>
  </si>
  <si>
    <t>遵义市红花岗区</t>
  </si>
  <si>
    <t>遵义市红花岗区人民法院</t>
  </si>
  <si>
    <t>遵义市红花岗区人民检察院</t>
  </si>
  <si>
    <t>遵义市汇川区</t>
  </si>
  <si>
    <t>遵义市汇川区人民法院</t>
  </si>
  <si>
    <t>遵义市汇川区人民检察院</t>
  </si>
  <si>
    <t>遵义市播州区</t>
  </si>
  <si>
    <t>遵义市播州区人民法院</t>
  </si>
  <si>
    <t>遵义市播州区人民检察院</t>
  </si>
  <si>
    <t>仁怀市</t>
  </si>
  <si>
    <t>仁怀市人民法院</t>
  </si>
  <si>
    <t>仁怀市人民检察院</t>
  </si>
  <si>
    <t>赤水市</t>
  </si>
  <si>
    <t>赤水市人民法院</t>
  </si>
  <si>
    <t>赤水市人民检察院</t>
  </si>
  <si>
    <t>桐梓县</t>
  </si>
  <si>
    <t>桐梓县人民法院</t>
  </si>
  <si>
    <t>桐梓县人民检察院</t>
  </si>
  <si>
    <t>习水县</t>
  </si>
  <si>
    <t>习水县人民法院</t>
  </si>
  <si>
    <t>习水县人民检察院</t>
  </si>
  <si>
    <t>湄潭县</t>
  </si>
  <si>
    <t>湄潭县人民法院</t>
  </si>
  <si>
    <t>湄潭县人民检察院</t>
  </si>
  <si>
    <t>凤冈县</t>
  </si>
  <si>
    <t>凤冈县人民法院</t>
  </si>
  <si>
    <t>凤冈县人民检察院</t>
  </si>
  <si>
    <t>余庆县</t>
  </si>
  <si>
    <t>余庆县人民法院</t>
  </si>
  <si>
    <t>余庆县人民检察院</t>
  </si>
  <si>
    <t>绥阳县</t>
  </si>
  <si>
    <t>绥阳县人民法院</t>
  </si>
  <si>
    <t>绥阳县人民检察院</t>
  </si>
  <si>
    <t>正安县</t>
  </si>
  <si>
    <t>正安县人民法院</t>
  </si>
  <si>
    <t>正安县人民检察院</t>
  </si>
  <si>
    <t>道真仡佬族苗族自治县</t>
  </si>
  <si>
    <t>道真仡佬族苗族自治县人民法院</t>
  </si>
  <si>
    <t>道真仡佬族苗族自治县人民检察院</t>
  </si>
  <si>
    <t>务川仡佬族苗族自治县</t>
  </si>
  <si>
    <t>务川仡佬族苗族自治县人民法院</t>
  </si>
  <si>
    <t>务川仡佬族苗族自治县人民检察院</t>
  </si>
  <si>
    <t>六盘水市中级</t>
  </si>
  <si>
    <t>六盘水市中级人民法院</t>
  </si>
  <si>
    <t>六盘水市</t>
  </si>
  <si>
    <t>六盘水市六枝特区</t>
  </si>
  <si>
    <t>六盘水市六枝特区人民法院</t>
  </si>
  <si>
    <t>六盘水市六枝特区人民检察院</t>
  </si>
  <si>
    <t>盘州</t>
  </si>
  <si>
    <t>盘州人民法院</t>
  </si>
  <si>
    <t>盘州人民检察院</t>
  </si>
  <si>
    <t>水城县</t>
  </si>
  <si>
    <t>水城县人民法院</t>
  </si>
  <si>
    <t>水城县人民检察院</t>
  </si>
  <si>
    <t>六盘水市钟山区</t>
  </si>
  <si>
    <t>六盘水市钟山区人民法院</t>
  </si>
  <si>
    <t>六盘水市钟山区人民检察院</t>
  </si>
  <si>
    <t>安顺市中级</t>
  </si>
  <si>
    <t>安顺市中级人民法院</t>
  </si>
  <si>
    <t>安顺市</t>
  </si>
  <si>
    <t>安顺市西秀区</t>
  </si>
  <si>
    <t>安顺市西秀区人民法院</t>
  </si>
  <si>
    <t>安顺市西秀区人民检察院</t>
  </si>
  <si>
    <t>安顺市平坝区</t>
  </si>
  <si>
    <t>安顺市平坝区人民法院</t>
  </si>
  <si>
    <t>安顺市平坝区人民检察院</t>
  </si>
  <si>
    <t>普定县</t>
  </si>
  <si>
    <t>普定县人民法院</t>
  </si>
  <si>
    <t>普定县人民检察院</t>
  </si>
  <si>
    <t>镇宁布依族苗族自治县</t>
  </si>
  <si>
    <t>镇宁布依族苗族自治县人民法院</t>
  </si>
  <si>
    <t>镇宁布依族苗族自治县人民检察院</t>
  </si>
  <si>
    <t>关岭布依族苗族自治县</t>
  </si>
  <si>
    <t>关岭布依族苗族自治县人民法院</t>
  </si>
  <si>
    <t>关岭布依族苗族自治县人民检察院</t>
  </si>
  <si>
    <t>紫云苗族布依族自治县</t>
  </si>
  <si>
    <t>紫云苗族布依族自治县人民法院</t>
  </si>
  <si>
    <t>紫云苗族布依族自治县人民检察院</t>
  </si>
  <si>
    <t>毕节市中级</t>
  </si>
  <si>
    <t>毕节市中级人民法院</t>
  </si>
  <si>
    <t>毕节市</t>
  </si>
  <si>
    <t>毕节市七星关区</t>
  </si>
  <si>
    <t>毕节市七星关区人民法院</t>
  </si>
  <si>
    <t>毕节市七星关区人民检察院</t>
  </si>
  <si>
    <t>大方县</t>
  </si>
  <si>
    <t>大方县人民法院</t>
  </si>
  <si>
    <t>大方县人民检察院</t>
  </si>
  <si>
    <t>黔西县</t>
  </si>
  <si>
    <t>黔西县人民法院</t>
  </si>
  <si>
    <t>黔西县人民检察院</t>
  </si>
  <si>
    <t>金沙县</t>
  </si>
  <si>
    <t>金沙县人民法院</t>
  </si>
  <si>
    <t>金沙县人民检察院</t>
  </si>
  <si>
    <t>织金县</t>
  </si>
  <si>
    <t>织金县人民法院</t>
  </si>
  <si>
    <t>织金县人民检察院</t>
  </si>
  <si>
    <t>纳雍县</t>
  </si>
  <si>
    <t>纳雍县人民法院</t>
  </si>
  <si>
    <t>纳雍县人民检察院</t>
  </si>
  <si>
    <t>赫章县</t>
  </si>
  <si>
    <t>赫章县人民法院</t>
  </si>
  <si>
    <t>赫章县人民检察院</t>
  </si>
  <si>
    <t>威宁彝族回族苗族自治县</t>
  </si>
  <si>
    <t>威宁彝族回族苗族自治县人民法院</t>
  </si>
  <si>
    <t>威宁彝族回族苗族自治县人民检察院</t>
  </si>
  <si>
    <t>铜仁市中级</t>
  </si>
  <si>
    <t>铜仁市中级人民法院</t>
  </si>
  <si>
    <t>铜仁市</t>
  </si>
  <si>
    <t>铜仁市碧江区</t>
  </si>
  <si>
    <t>铜仁市碧江区人民法院</t>
  </si>
  <si>
    <t>铜仁市碧江区人民检察院</t>
  </si>
  <si>
    <t>铜仁市万山区</t>
  </si>
  <si>
    <t>铜仁市万山区人民法院</t>
  </si>
  <si>
    <t>铜仁市万山区人民检察院</t>
  </si>
  <si>
    <t>松桃苗族自治县</t>
  </si>
  <si>
    <t>松桃苗族自治县人民法院</t>
  </si>
  <si>
    <t>松桃苗族自治县人民检察院</t>
  </si>
  <si>
    <t>玉屏侗族自治县</t>
  </si>
  <si>
    <t>玉屏侗族自治县人民法院</t>
  </si>
  <si>
    <t>玉屏侗族自治县人民检察院</t>
  </si>
  <si>
    <t>江口县</t>
  </si>
  <si>
    <t>江口县人民法院</t>
  </si>
  <si>
    <t>江口县人民检察院</t>
  </si>
  <si>
    <t>石阡县</t>
  </si>
  <si>
    <t>石阡县人民法院</t>
  </si>
  <si>
    <t>石阡县人民检察院</t>
  </si>
  <si>
    <t>印江土家族苗族自治县</t>
  </si>
  <si>
    <t>印江土家族苗族自治县人民法院</t>
  </si>
  <si>
    <t>印江土家族苗族自治县人民检察院</t>
  </si>
  <si>
    <t>思南县</t>
  </si>
  <si>
    <t>思南县人民法院</t>
  </si>
  <si>
    <t>思南县人民检察院</t>
  </si>
  <si>
    <t>德江县</t>
  </si>
  <si>
    <t>德江县人民法院</t>
  </si>
  <si>
    <t>德江县人民检察院</t>
  </si>
  <si>
    <t>沿河土家族自治县</t>
  </si>
  <si>
    <t>沿河土家族自治县人民法院</t>
  </si>
  <si>
    <t>沿河土家族自治县人民检察院</t>
  </si>
  <si>
    <t>黔东南苗族侗族自治州中级</t>
  </si>
  <si>
    <t>黔东南苗族侗族自治州中级人民法院</t>
  </si>
  <si>
    <t>黔东南苗族侗族自治州</t>
  </si>
  <si>
    <t>凯里市</t>
  </si>
  <si>
    <t>凯里市人民法院</t>
  </si>
  <si>
    <t>凯里市人民检察院</t>
  </si>
  <si>
    <t>丹寨县</t>
  </si>
  <si>
    <t>丹寨县人民法院</t>
  </si>
  <si>
    <t>丹寨县人民检察院</t>
  </si>
  <si>
    <t>麻江县</t>
  </si>
  <si>
    <t>麻江县人民法院</t>
  </si>
  <si>
    <t>麻江县人民检察院</t>
  </si>
  <si>
    <t>黄平县</t>
  </si>
  <si>
    <t>黄平县人民法院</t>
  </si>
  <si>
    <t>黄平县人民检察院</t>
  </si>
  <si>
    <t>施秉县</t>
  </si>
  <si>
    <t>施秉县人民法院</t>
  </si>
  <si>
    <t>施秉县人民检察院</t>
  </si>
  <si>
    <t>镇远县</t>
  </si>
  <si>
    <t>镇远县人民法院</t>
  </si>
  <si>
    <t>镇远县人民检察院</t>
  </si>
  <si>
    <t>岑巩县</t>
  </si>
  <si>
    <t>岑巩县人民法院</t>
  </si>
  <si>
    <t>岑巩县人民检察院</t>
  </si>
  <si>
    <t>三穗县</t>
  </si>
  <si>
    <t>三穗县人民法院</t>
  </si>
  <si>
    <t>三穗县人民检察院</t>
  </si>
  <si>
    <t>天柱县</t>
  </si>
  <si>
    <t>天柱县人民法院</t>
  </si>
  <si>
    <t>天柱县人民检察院</t>
  </si>
  <si>
    <t>锦屏县</t>
  </si>
  <si>
    <t>锦屏县人民法院</t>
  </si>
  <si>
    <t>锦屏县人民检察院</t>
  </si>
  <si>
    <t>黎平县</t>
  </si>
  <si>
    <t>黎平县人民法院</t>
  </si>
  <si>
    <t>黎平县人民检察院</t>
  </si>
  <si>
    <t>从江县</t>
  </si>
  <si>
    <t>从江县人民法院</t>
  </si>
  <si>
    <t>从江县人民检察院</t>
  </si>
  <si>
    <t>榕江县</t>
  </si>
  <si>
    <t>榕江县人民法院</t>
  </si>
  <si>
    <t>榕江县人民检察院</t>
  </si>
  <si>
    <t>雷山县</t>
  </si>
  <si>
    <t>雷山县人民法院</t>
  </si>
  <si>
    <t>雷山县人民检察院</t>
  </si>
  <si>
    <t>台江县</t>
  </si>
  <si>
    <t>台江县人民法院</t>
  </si>
  <si>
    <t>台江县人民检察院</t>
  </si>
  <si>
    <t>剑河县</t>
  </si>
  <si>
    <t>剑河县人民法院</t>
  </si>
  <si>
    <t>剑河县人民检察院</t>
  </si>
  <si>
    <t>黔南州布依族苗族自治州中级</t>
  </si>
  <si>
    <t>黔南州布依族苗族自治州中级人民法院</t>
  </si>
  <si>
    <t>黔南州布依族苗族自治州</t>
  </si>
  <si>
    <t>都匀市</t>
  </si>
  <si>
    <t>都匀市人民法院</t>
  </si>
  <si>
    <t>都匀市人民检察院</t>
  </si>
  <si>
    <t>福泉市</t>
  </si>
  <si>
    <t>福泉市人民法院</t>
  </si>
  <si>
    <t>福泉市人民检察院</t>
  </si>
  <si>
    <t>瓮安县</t>
  </si>
  <si>
    <t>瓮安县人民法院</t>
  </si>
  <si>
    <t>瓮安县人民检察院</t>
  </si>
  <si>
    <t>贵定县</t>
  </si>
  <si>
    <t>贵定县人民法院</t>
  </si>
  <si>
    <t>贵定县人民检察院</t>
  </si>
  <si>
    <t>龙里县</t>
  </si>
  <si>
    <t>龙里县人民法院</t>
  </si>
  <si>
    <t>龙里县人民检察院</t>
  </si>
  <si>
    <t>惠水县</t>
  </si>
  <si>
    <t>惠水县人民法院</t>
  </si>
  <si>
    <t>惠水县人民检察院</t>
  </si>
  <si>
    <t>长顺县</t>
  </si>
  <si>
    <t>长顺县人民法院</t>
  </si>
  <si>
    <t>长顺县人民检察院</t>
  </si>
  <si>
    <t>独山县</t>
  </si>
  <si>
    <t>独山县人民法院</t>
  </si>
  <si>
    <t>独山县人民检察院</t>
  </si>
  <si>
    <t>荔波县</t>
  </si>
  <si>
    <t>荔波县人民法院</t>
  </si>
  <si>
    <t>荔波县人民检察院</t>
  </si>
  <si>
    <t>平塘县</t>
  </si>
  <si>
    <t>平塘县人民法院</t>
  </si>
  <si>
    <t>平塘县人民检察院</t>
  </si>
  <si>
    <t>罗甸县</t>
  </si>
  <si>
    <t>罗甸县人民法院</t>
  </si>
  <si>
    <t>罗甸县人民检察院</t>
  </si>
  <si>
    <t>三都水族自治县</t>
  </si>
  <si>
    <t>三都水族自治县人民法院</t>
  </si>
  <si>
    <t>三都水族自治县人民检察院</t>
  </si>
  <si>
    <t>黔西南布依族苗族自治州中级</t>
  </si>
  <si>
    <t>黔西南布依族苗族自治州中级人民法院</t>
  </si>
  <si>
    <t>黔西南布依族苗族自治州</t>
  </si>
  <si>
    <t>兴义市</t>
  </si>
  <si>
    <t>兴义市人民法院</t>
  </si>
  <si>
    <t>兴义市人民检察院</t>
  </si>
  <si>
    <t>兴仁县</t>
  </si>
  <si>
    <t>兴仁县人民法院</t>
  </si>
  <si>
    <t>兴仁县人民检察院</t>
  </si>
  <si>
    <t>安龙县</t>
  </si>
  <si>
    <t>安龙县人民法院</t>
  </si>
  <si>
    <t>安龙县人民检察院</t>
  </si>
  <si>
    <t>贞丰县</t>
  </si>
  <si>
    <t>贞丰县人民法院</t>
  </si>
  <si>
    <t>贞丰县人民检察院</t>
  </si>
  <si>
    <t>普安县</t>
  </si>
  <si>
    <t>普安县人民法院</t>
  </si>
  <si>
    <t>普安县人民检察院</t>
  </si>
  <si>
    <t>晴隆县</t>
  </si>
  <si>
    <t>晴隆县人民法院</t>
  </si>
  <si>
    <t>晴隆县人民检察院</t>
  </si>
  <si>
    <t>册亨县</t>
  </si>
  <si>
    <t>册亨县人民法院</t>
  </si>
  <si>
    <t>册亨县人民检察院</t>
  </si>
  <si>
    <t>望谟县</t>
  </si>
  <si>
    <t>望谟县人民法院</t>
  </si>
  <si>
    <t>望谟县人民检察院</t>
  </si>
  <si>
    <t>“五险一”金单位缴费部分测算</t>
  </si>
  <si>
    <t>2017年度全省城镇单位在岗职工年平均工资</t>
  </si>
  <si>
    <t>月平均工资</t>
  </si>
  <si>
    <t xml:space="preserve">       五险一金
  项目  </t>
  </si>
  <si>
    <t>养老保险
（19%）</t>
  </si>
  <si>
    <t>失业保险
（0.7%）</t>
  </si>
  <si>
    <t>工伤保险
（0.4～3%）</t>
  </si>
  <si>
    <t>医疗保险
（7.5%）</t>
  </si>
  <si>
    <t>生育保险
（0.5%）</t>
  </si>
  <si>
    <t>大额
医疗
元/年</t>
  </si>
  <si>
    <t>公积金
（5～12%）</t>
  </si>
  <si>
    <t>合计金额</t>
  </si>
  <si>
    <t>比例</t>
  </si>
  <si>
    <t>-</t>
  </si>
  <si>
    <t>基数</t>
  </si>
  <si>
    <t>缴费金额</t>
  </si>
  <si>
    <t>说明：根据《贵阳市社会保险收付管理中心关于调整2018年度社会保险缴费基数的通知》（筑社发﹝2018﹞21号）规定，参保单位职工养老、失业、工伤保险缴费基数在2017年度全省城镇单位在岗职工月平均工资5379.08元（简称月平均工资）的60%~300%范围内确定；医疗保险缴费基数在月平均工资的80%~300%范围内确定,生育保险缴费基数按月平均工资的100%~300%范围内确定。
   在此，聘用制书记员的养老、失业、工伤保险缴费基数按月平均工资的60%即3227.45元计算，医疗保险缴费基数按月平均工资的80%即4303.26元计算,生育保险缴费基数按月平均工资的100%即5379.09元计算。
根据贵阳市住房供积金缴费规定，单位和个人应缴合计不低于168元。单位缴费按聘用制书记员等级工资的10%进行缴纳，即每月缴费1880*10%=188元。</t>
  </si>
  <si>
    <t>序号</t>
  </si>
  <si>
    <t>合计</t>
  </si>
  <si>
    <t>省级院合计</t>
  </si>
  <si>
    <t>筑城地区人民检察院</t>
  </si>
  <si>
    <t>贵阳市合计</t>
  </si>
  <si>
    <t>六盘水市人民检察院</t>
  </si>
  <si>
    <t>六盘水市合计</t>
  </si>
  <si>
    <t>平坝区人民检察院</t>
  </si>
  <si>
    <t>安顺市合计</t>
  </si>
  <si>
    <t>铜仁市人民检察院</t>
  </si>
  <si>
    <t>碧江区人民检察院</t>
  </si>
  <si>
    <t>万山区人民检察院</t>
  </si>
  <si>
    <t>铜仁市合计</t>
  </si>
  <si>
    <t>黔东南苗族侗族自治州人民检察院</t>
  </si>
  <si>
    <t>黔东南州合计</t>
  </si>
  <si>
    <t>黔西南布依族苗族自治州人民检察院</t>
  </si>
  <si>
    <t>黔西南州合计</t>
  </si>
  <si>
    <t>拟转为聘用制书记员人员所需经费支出测算</t>
  </si>
  <si>
    <t>姓名</t>
  </si>
  <si>
    <t>艰苦边远地区</t>
  </si>
  <si>
    <t>人员类别</t>
  </si>
  <si>
    <t>进院时间</t>
  </si>
  <si>
    <t>工龄</t>
  </si>
  <si>
    <t>拟套改为聘用制等级</t>
  </si>
  <si>
    <t>等级工资</t>
  </si>
  <si>
    <t>绩效工资</t>
  </si>
  <si>
    <t>工龄工资</t>
  </si>
  <si>
    <t>年终奖金</t>
  </si>
  <si>
    <t>优秀奖金（合计）</t>
  </si>
  <si>
    <t>五险一金</t>
  </si>
  <si>
    <t>核算月数</t>
  </si>
  <si>
    <t>王文俊</t>
  </si>
  <si>
    <t>一类区</t>
  </si>
  <si>
    <t>派遣制</t>
  </si>
  <si>
    <t>高华苑</t>
  </si>
  <si>
    <t>刘飞</t>
  </si>
  <si>
    <t>张霞</t>
  </si>
  <si>
    <t>李松龙</t>
  </si>
  <si>
    <t>施艳</t>
  </si>
  <si>
    <t>陈倩雯</t>
  </si>
  <si>
    <t>司宇</t>
  </si>
  <si>
    <t>秦雯</t>
  </si>
  <si>
    <t>董美叶</t>
  </si>
  <si>
    <t>何丹</t>
  </si>
  <si>
    <t>杨帅昕</t>
  </si>
  <si>
    <t>潘国波</t>
  </si>
  <si>
    <t>成虹飞</t>
  </si>
  <si>
    <t>王佳骏</t>
  </si>
  <si>
    <t>彭小沥</t>
  </si>
  <si>
    <t>冀凌馨</t>
  </si>
  <si>
    <t>杨天威</t>
  </si>
  <si>
    <t>饶灿</t>
  </si>
  <si>
    <t>陈雁</t>
  </si>
  <si>
    <t>黄义</t>
  </si>
  <si>
    <t>徐阳</t>
  </si>
  <si>
    <t>蔡芳</t>
  </si>
  <si>
    <t>谭霞</t>
  </si>
  <si>
    <t>张玥</t>
  </si>
  <si>
    <t>严洪杰</t>
  </si>
  <si>
    <t>姚永涛</t>
  </si>
  <si>
    <t>杨柏义</t>
  </si>
  <si>
    <t>王筱婷</t>
  </si>
  <si>
    <t>谭垒</t>
  </si>
  <si>
    <t>牛洁</t>
  </si>
  <si>
    <t>王蓉</t>
  </si>
  <si>
    <t>罗婧玥</t>
  </si>
  <si>
    <t>黄露</t>
  </si>
  <si>
    <t>张涛</t>
  </si>
  <si>
    <t>高艺宁</t>
  </si>
  <si>
    <t>纪泽清</t>
  </si>
  <si>
    <t>陈毅</t>
  </si>
  <si>
    <t>肖冰心</t>
  </si>
  <si>
    <t>韩会霞</t>
  </si>
  <si>
    <t>梁吉望</t>
  </si>
  <si>
    <t>姚仪梅</t>
  </si>
  <si>
    <t>廖依含</t>
  </si>
  <si>
    <t>刘芳</t>
  </si>
  <si>
    <t>包永丽</t>
  </si>
  <si>
    <t>崔贤君</t>
  </si>
  <si>
    <t>陈佳俊</t>
  </si>
  <si>
    <t>刘竹</t>
  </si>
  <si>
    <t>李茂青</t>
  </si>
  <si>
    <t>谭国泰</t>
  </si>
  <si>
    <t>邱睿</t>
  </si>
  <si>
    <t>刘文群</t>
  </si>
  <si>
    <t>胡静</t>
  </si>
  <si>
    <t>谢安柱</t>
  </si>
  <si>
    <t>彭海莲</t>
  </si>
  <si>
    <t>周玲</t>
  </si>
  <si>
    <t>武媛媛</t>
  </si>
  <si>
    <t>石霜雪</t>
  </si>
  <si>
    <t>解鹏丞</t>
  </si>
  <si>
    <t>肖亮</t>
  </si>
  <si>
    <t>任东</t>
  </si>
  <si>
    <t>马如意</t>
  </si>
  <si>
    <t>杨绍蒲</t>
  </si>
  <si>
    <t>吴嫣</t>
  </si>
  <si>
    <t>时薇</t>
  </si>
  <si>
    <t>汪杨</t>
  </si>
  <si>
    <t>罗威</t>
  </si>
  <si>
    <t>李净</t>
  </si>
  <si>
    <t>马伟</t>
  </si>
  <si>
    <t>卢江川</t>
  </si>
  <si>
    <t>刘丹</t>
  </si>
  <si>
    <t>李若璨</t>
  </si>
  <si>
    <t>周凌薇</t>
  </si>
  <si>
    <t>文兰</t>
  </si>
  <si>
    <t>李学园</t>
  </si>
  <si>
    <t>宋芳</t>
  </si>
  <si>
    <t>张梦霞</t>
  </si>
  <si>
    <t>参数表</t>
  </si>
  <si>
    <t>等级套改</t>
  </si>
  <si>
    <t>2017年最低工资标准</t>
  </si>
  <si>
    <t>月工资（五级聘用制书记员月工资，用于测算）</t>
  </si>
  <si>
    <t>优秀奖金（1年）</t>
  </si>
  <si>
    <t>六级聘用制书记员</t>
  </si>
  <si>
    <t>五级聘用制书记员</t>
  </si>
  <si>
    <t>二类区</t>
  </si>
  <si>
    <t>四级聘用制书记员</t>
  </si>
  <si>
    <t>三类区</t>
  </si>
  <si>
    <t>三级聘用制书记员</t>
  </si>
  <si>
    <t>二级聘用制书记员</t>
  </si>
  <si>
    <t>一级聘用制书记员</t>
  </si>
  <si>
    <t>聘用书记员等级</t>
  </si>
  <si>
    <t>月发金额</t>
  </si>
  <si>
    <t>年终奖</t>
  </si>
  <si>
    <t>优秀奖</t>
  </si>
  <si>
    <t>年终奖月均</t>
  </si>
  <si>
    <r>
      <rPr>
        <sz val="11"/>
        <color theme="1"/>
        <rFont val="黑体"/>
        <charset val="134"/>
      </rPr>
      <t>全年月平均工资</t>
    </r>
    <r>
      <rPr>
        <sz val="9"/>
        <color theme="1"/>
        <rFont val="黑体"/>
        <charset val="134"/>
      </rPr>
      <t>（不含优秀奖）</t>
    </r>
  </si>
  <si>
    <t>最低工资标准</t>
  </si>
  <si>
    <t>等级金额</t>
  </si>
  <si>
    <t>书记员等级</t>
  </si>
  <si>
    <t>等级差（元）</t>
  </si>
  <si>
    <t>晋升年限</t>
  </si>
  <si>
    <t>六级</t>
  </si>
  <si>
    <t>一级</t>
  </si>
  <si>
    <t>五级</t>
  </si>
  <si>
    <t>二级</t>
  </si>
  <si>
    <t>四级</t>
  </si>
  <si>
    <t>三级</t>
  </si>
  <si>
    <t>地区分类</t>
  </si>
  <si>
    <t>云岩区人民检察院</t>
    <phoneticPr fontId="26" type="noConversion"/>
  </si>
  <si>
    <t>南明区人民检察院</t>
    <phoneticPr fontId="26" type="noConversion"/>
  </si>
  <si>
    <t>花溪区人民检察院</t>
    <phoneticPr fontId="26" type="noConversion"/>
  </si>
  <si>
    <t>兴仁市人民检察院</t>
    <phoneticPr fontId="26" type="noConversion"/>
  </si>
  <si>
    <t>2020年贵州省检察机关公开招聘聘用制书记员计划表</t>
    <phoneticPr fontId="26" type="noConversion"/>
  </si>
  <si>
    <t>2020年计划招聘聘用制书记员数</t>
    <phoneticPr fontId="26" type="noConversion"/>
  </si>
  <si>
    <t>单  位</t>
    <phoneticPr fontId="26" type="noConversion"/>
  </si>
  <si>
    <t>附件1</t>
    <phoneticPr fontId="26" type="noConversion"/>
  </si>
  <si>
    <t>观山湖区人民检察院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</si>
</sst>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35">
    <font>
      <sz val="11"/>
      <color theme="1"/>
      <name val="宋体"/>
      <charset val="134"/>
      <scheme val="minor"/>
    </font>
    <font>
      <sz val="11"/>
      <color theme="1"/>
      <name val="方正姚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b/>
      <sz val="18"/>
      <color rgb="FFFF0000"/>
      <name val="宋体"/>
      <charset val="134"/>
      <scheme val="minor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4" fontId="0" fillId="0" borderId="0" xfId="0" applyNumberFormat="1">
      <alignment vertical="center"/>
    </xf>
    <xf numFmtId="0" fontId="8" fillId="0" borderId="0" xfId="0" applyFont="1" applyAlignment="1">
      <alignment horizontal="centerContinuous" vertical="center"/>
    </xf>
    <xf numFmtId="14" fontId="8" fillId="0" borderId="0" xfId="0" applyNumberFormat="1" applyFont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2" borderId="0" xfId="0" applyFont="1" applyFill="1" applyBorder="1">
      <alignment vertical="center"/>
    </xf>
    <xf numFmtId="0" fontId="18" fillId="2" borderId="0" xfId="0" applyFont="1" applyFill="1" applyBorder="1" applyAlignment="1">
      <alignment horizontal="centerContinuous" vertical="center"/>
    </xf>
    <xf numFmtId="0" fontId="19" fillId="2" borderId="1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176" fontId="20" fillId="2" borderId="2" xfId="2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2" borderId="2" xfId="2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28" fillId="5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shrinkToFit="1"/>
    </xf>
    <xf numFmtId="0" fontId="30" fillId="5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 shrinkToFit="1"/>
    </xf>
    <xf numFmtId="0" fontId="30" fillId="5" borderId="2" xfId="0" applyFont="1" applyFill="1" applyBorder="1" applyAlignment="1">
      <alignment horizontal="center" vertical="center" shrinkToFit="1"/>
    </xf>
    <xf numFmtId="0" fontId="31" fillId="5" borderId="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30" fillId="5" borderId="12" xfId="0" applyNumberFormat="1" applyFont="1" applyFill="1" applyBorder="1" applyAlignment="1">
      <alignment horizontal="center" vertical="center" shrinkToFit="1"/>
    </xf>
    <xf numFmtId="0" fontId="30" fillId="5" borderId="13" xfId="0" applyNumberFormat="1" applyFont="1" applyFill="1" applyBorder="1" applyAlignment="1">
      <alignment horizontal="center" vertical="center" shrinkToFit="1"/>
    </xf>
    <xf numFmtId="0" fontId="27" fillId="5" borderId="12" xfId="0" applyNumberFormat="1" applyFont="1" applyFill="1" applyBorder="1" applyAlignment="1">
      <alignment horizontal="center" vertical="center" wrapText="1"/>
    </xf>
    <xf numFmtId="0" fontId="27" fillId="5" borderId="13" xfId="0" applyNumberFormat="1" applyFont="1" applyFill="1" applyBorder="1" applyAlignment="1">
      <alignment horizontal="center" vertical="center" wrapText="1"/>
    </xf>
    <xf numFmtId="0" fontId="30" fillId="5" borderId="12" xfId="0" applyNumberFormat="1" applyFont="1" applyFill="1" applyBorder="1" applyAlignment="1">
      <alignment horizontal="center" vertical="center"/>
    </xf>
    <xf numFmtId="0" fontId="30" fillId="5" borderId="13" xfId="0" applyNumberFormat="1" applyFont="1" applyFill="1" applyBorder="1" applyAlignment="1">
      <alignment horizontal="center" vertical="center"/>
    </xf>
    <xf numFmtId="0" fontId="30" fillId="5" borderId="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34" fillId="5" borderId="0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shrinkToFit="1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shrinkToFit="1"/>
    </xf>
  </cellXfs>
  <cellStyles count="15">
    <cellStyle name="百分比" xfId="2" builtinId="5"/>
    <cellStyle name="差" xfId="1" builtinId="27"/>
    <cellStyle name="常规" xfId="0" builtinId="0"/>
    <cellStyle name="常规 14" xfId="7"/>
    <cellStyle name="常规 15" xfId="8"/>
    <cellStyle name="常规 16" xfId="5"/>
    <cellStyle name="常规 18" xfId="9"/>
    <cellStyle name="常规 19" xfId="6"/>
    <cellStyle name="常规 2" xfId="13"/>
    <cellStyle name="常规 3" xfId="11"/>
    <cellStyle name="常规 4" xfId="10"/>
    <cellStyle name="常规 5" xfId="14"/>
    <cellStyle name="常规 6" xfId="3"/>
    <cellStyle name="常规 7" xfId="12"/>
    <cellStyle name="常规 8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opLeftCell="A13" workbookViewId="0">
      <selection activeCell="G25" sqref="G25"/>
    </sheetView>
  </sheetViews>
  <sheetFormatPr defaultColWidth="9" defaultRowHeight="13.5"/>
  <cols>
    <col min="1" max="1" width="31.125" style="57" customWidth="1"/>
    <col min="2" max="2" width="11.625" customWidth="1"/>
    <col min="3" max="3" width="31.125" style="57" customWidth="1"/>
    <col min="4" max="4" width="11.625" customWidth="1"/>
    <col min="6" max="6" width="8.5" customWidth="1"/>
    <col min="7" max="7" width="29.375" customWidth="1"/>
    <col min="8" max="8" width="11" style="6" customWidth="1"/>
    <col min="9" max="9" width="24.5" customWidth="1"/>
  </cols>
  <sheetData>
    <row r="1" spans="1:9" ht="14.25">
      <c r="A1" s="58" t="s">
        <v>0</v>
      </c>
      <c r="B1" t="s">
        <v>1</v>
      </c>
      <c r="C1" s="58" t="s">
        <v>0</v>
      </c>
      <c r="D1" t="s">
        <v>1</v>
      </c>
      <c r="G1" s="58" t="s">
        <v>2</v>
      </c>
      <c r="H1" s="6" t="s">
        <v>1</v>
      </c>
      <c r="I1" s="6" t="s">
        <v>3</v>
      </c>
    </row>
    <row r="2" spans="1:9" ht="14.25">
      <c r="A2" s="58" t="s">
        <v>4</v>
      </c>
      <c r="B2">
        <v>116</v>
      </c>
      <c r="C2" s="58" t="s">
        <v>5</v>
      </c>
      <c r="D2">
        <v>116</v>
      </c>
      <c r="F2" t="s">
        <v>6</v>
      </c>
      <c r="G2" s="58" t="s">
        <v>7</v>
      </c>
      <c r="H2" s="6">
        <v>92</v>
      </c>
    </row>
    <row r="3" spans="1:9" ht="14.25">
      <c r="A3" s="58" t="s">
        <v>8</v>
      </c>
      <c r="B3">
        <v>15</v>
      </c>
      <c r="C3" s="58" t="s">
        <v>9</v>
      </c>
      <c r="D3">
        <v>15</v>
      </c>
      <c r="F3" t="s">
        <v>10</v>
      </c>
      <c r="G3" s="58" t="s">
        <v>11</v>
      </c>
      <c r="H3" s="6">
        <v>16</v>
      </c>
    </row>
    <row r="4" spans="1:9" ht="14.25">
      <c r="A4" s="58" t="s">
        <v>12</v>
      </c>
      <c r="B4">
        <v>108</v>
      </c>
      <c r="C4" s="58" t="s">
        <v>13</v>
      </c>
      <c r="D4">
        <v>108</v>
      </c>
      <c r="F4" t="s">
        <v>14</v>
      </c>
      <c r="G4" s="58" t="s">
        <v>15</v>
      </c>
      <c r="H4" s="6">
        <v>0</v>
      </c>
    </row>
    <row r="5" spans="1:9" ht="14.25">
      <c r="A5" s="58" t="s">
        <v>16</v>
      </c>
      <c r="B5">
        <v>63</v>
      </c>
      <c r="C5" s="58" t="s">
        <v>17</v>
      </c>
      <c r="D5">
        <v>63</v>
      </c>
      <c r="F5" t="s">
        <v>10</v>
      </c>
      <c r="G5" s="58" t="s">
        <v>18</v>
      </c>
      <c r="H5" s="6">
        <v>0</v>
      </c>
    </row>
    <row r="6" spans="1:9" ht="14.25">
      <c r="A6" s="58" t="s">
        <v>19</v>
      </c>
      <c r="B6">
        <v>64</v>
      </c>
      <c r="C6" s="58" t="s">
        <v>20</v>
      </c>
      <c r="D6">
        <v>64</v>
      </c>
      <c r="F6" t="s">
        <v>10</v>
      </c>
      <c r="G6" s="58" t="s">
        <v>21</v>
      </c>
      <c r="H6" s="6">
        <v>0</v>
      </c>
    </row>
    <row r="7" spans="1:9" ht="14.25">
      <c r="A7" s="58" t="s">
        <v>22</v>
      </c>
      <c r="B7">
        <v>34</v>
      </c>
      <c r="C7" s="58" t="s">
        <v>23</v>
      </c>
      <c r="D7">
        <v>34</v>
      </c>
      <c r="F7" t="s">
        <v>10</v>
      </c>
      <c r="G7" s="58" t="s">
        <v>24</v>
      </c>
      <c r="H7" s="6">
        <v>0</v>
      </c>
    </row>
    <row r="8" spans="1:9" ht="14.25">
      <c r="A8" s="58" t="s">
        <v>25</v>
      </c>
      <c r="B8">
        <v>23</v>
      </c>
      <c r="C8" s="58" t="s">
        <v>26</v>
      </c>
      <c r="D8">
        <v>23</v>
      </c>
      <c r="F8" t="s">
        <v>10</v>
      </c>
      <c r="G8" s="58" t="s">
        <v>27</v>
      </c>
      <c r="H8" s="6">
        <v>0</v>
      </c>
    </row>
    <row r="9" spans="1:9" ht="14.25">
      <c r="A9" s="58" t="s">
        <v>28</v>
      </c>
      <c r="B9">
        <v>27</v>
      </c>
      <c r="C9" s="58" t="s">
        <v>29</v>
      </c>
      <c r="D9">
        <v>27</v>
      </c>
      <c r="F9" t="s">
        <v>10</v>
      </c>
      <c r="G9" s="58" t="s">
        <v>30</v>
      </c>
      <c r="H9" s="6">
        <v>0</v>
      </c>
    </row>
    <row r="10" spans="1:9" ht="14.25">
      <c r="A10" s="58" t="s">
        <v>31</v>
      </c>
      <c r="B10">
        <v>32</v>
      </c>
      <c r="C10" s="58" t="s">
        <v>32</v>
      </c>
      <c r="D10">
        <v>32</v>
      </c>
      <c r="F10" t="s">
        <v>10</v>
      </c>
      <c r="G10" s="58" t="s">
        <v>33</v>
      </c>
      <c r="H10" s="6">
        <v>0</v>
      </c>
    </row>
    <row r="11" spans="1:9" ht="14.25">
      <c r="A11" s="58" t="s">
        <v>34</v>
      </c>
      <c r="B11">
        <v>28</v>
      </c>
      <c r="C11" s="58" t="s">
        <v>35</v>
      </c>
      <c r="D11">
        <v>28</v>
      </c>
      <c r="F11" t="s">
        <v>10</v>
      </c>
      <c r="G11" s="58" t="s">
        <v>36</v>
      </c>
      <c r="H11" s="6">
        <v>0</v>
      </c>
    </row>
    <row r="12" spans="1:9" ht="14.25">
      <c r="A12" s="58" t="s">
        <v>37</v>
      </c>
      <c r="B12">
        <v>21</v>
      </c>
      <c r="C12" s="58" t="s">
        <v>38</v>
      </c>
      <c r="D12">
        <v>21</v>
      </c>
      <c r="F12" t="s">
        <v>10</v>
      </c>
      <c r="G12" s="58" t="s">
        <v>39</v>
      </c>
      <c r="H12" s="6">
        <v>0</v>
      </c>
    </row>
    <row r="13" spans="1:9" ht="14.25">
      <c r="A13" s="58" t="s">
        <v>40</v>
      </c>
      <c r="B13">
        <v>20</v>
      </c>
      <c r="C13" s="58" t="s">
        <v>41</v>
      </c>
      <c r="D13">
        <v>20</v>
      </c>
      <c r="F13" t="s">
        <v>10</v>
      </c>
      <c r="G13" s="58" t="s">
        <v>42</v>
      </c>
      <c r="H13" s="6">
        <v>0</v>
      </c>
    </row>
    <row r="14" spans="1:9" ht="14.25">
      <c r="A14" s="58" t="s">
        <v>43</v>
      </c>
      <c r="B14">
        <v>24</v>
      </c>
      <c r="C14" s="58" t="s">
        <v>44</v>
      </c>
      <c r="D14">
        <v>24</v>
      </c>
      <c r="F14" t="s">
        <v>10</v>
      </c>
      <c r="G14" s="58" t="s">
        <v>45</v>
      </c>
      <c r="H14" s="6">
        <v>0</v>
      </c>
    </row>
    <row r="15" spans="1:9" ht="14.25">
      <c r="A15" s="58" t="s">
        <v>15</v>
      </c>
      <c r="B15">
        <f>SUM(B4:B14)</f>
        <v>444</v>
      </c>
      <c r="C15" s="58" t="s">
        <v>15</v>
      </c>
      <c r="D15">
        <f>SUM(D4:D14)</f>
        <v>444</v>
      </c>
      <c r="G15">
        <v>325</v>
      </c>
      <c r="H15" s="6">
        <v>325</v>
      </c>
    </row>
    <row r="16" spans="1:9" ht="14.25">
      <c r="A16" s="58" t="s">
        <v>46</v>
      </c>
      <c r="B16">
        <v>75</v>
      </c>
      <c r="C16" s="58" t="s">
        <v>47</v>
      </c>
      <c r="D16">
        <v>75</v>
      </c>
      <c r="F16" t="s">
        <v>14</v>
      </c>
      <c r="G16" s="58" t="s">
        <v>48</v>
      </c>
      <c r="H16" s="6">
        <v>0</v>
      </c>
    </row>
    <row r="17" spans="1:8" ht="14.25">
      <c r="A17" s="58" t="s">
        <v>49</v>
      </c>
      <c r="B17">
        <v>52</v>
      </c>
      <c r="C17" s="58" t="s">
        <v>50</v>
      </c>
      <c r="D17">
        <v>52</v>
      </c>
      <c r="F17" t="s">
        <v>10</v>
      </c>
      <c r="G17" s="58" t="s">
        <v>51</v>
      </c>
      <c r="H17" s="6">
        <v>0</v>
      </c>
    </row>
    <row r="18" spans="1:8" ht="14.25">
      <c r="A18" s="58" t="s">
        <v>52</v>
      </c>
      <c r="B18">
        <v>37</v>
      </c>
      <c r="C18" s="58" t="s">
        <v>53</v>
      </c>
      <c r="D18">
        <v>37</v>
      </c>
      <c r="F18" t="s">
        <v>10</v>
      </c>
      <c r="G18" s="58" t="s">
        <v>54</v>
      </c>
      <c r="H18" s="6">
        <v>0</v>
      </c>
    </row>
    <row r="19" spans="1:8" ht="14.25">
      <c r="A19" s="58" t="s">
        <v>55</v>
      </c>
      <c r="B19">
        <v>47</v>
      </c>
      <c r="C19" s="58" t="s">
        <v>56</v>
      </c>
      <c r="D19">
        <v>47</v>
      </c>
      <c r="F19" t="s">
        <v>10</v>
      </c>
      <c r="G19" s="58" t="s">
        <v>57</v>
      </c>
      <c r="H19" s="6">
        <v>0</v>
      </c>
    </row>
    <row r="20" spans="1:8" ht="14.25">
      <c r="A20" s="58" t="s">
        <v>58</v>
      </c>
      <c r="B20">
        <v>39</v>
      </c>
      <c r="C20" s="58" t="s">
        <v>59</v>
      </c>
      <c r="D20">
        <v>39</v>
      </c>
      <c r="F20" t="s">
        <v>10</v>
      </c>
      <c r="G20" s="58" t="s">
        <v>60</v>
      </c>
      <c r="H20" s="6">
        <v>0</v>
      </c>
    </row>
    <row r="21" spans="1:8" ht="14.25">
      <c r="A21" s="58" t="s">
        <v>61</v>
      </c>
      <c r="B21">
        <v>25</v>
      </c>
      <c r="C21" s="58" t="s">
        <v>62</v>
      </c>
      <c r="D21">
        <v>25</v>
      </c>
      <c r="F21" t="s">
        <v>10</v>
      </c>
      <c r="G21" s="58" t="s">
        <v>63</v>
      </c>
      <c r="H21" s="6">
        <v>0</v>
      </c>
    </row>
    <row r="22" spans="1:8" ht="14.25">
      <c r="A22" s="58" t="s">
        <v>64</v>
      </c>
      <c r="B22">
        <v>35</v>
      </c>
      <c r="C22" s="58" t="s">
        <v>65</v>
      </c>
      <c r="D22">
        <v>35</v>
      </c>
      <c r="F22" t="s">
        <v>10</v>
      </c>
      <c r="G22" s="58" t="s">
        <v>66</v>
      </c>
      <c r="H22" s="6">
        <v>0</v>
      </c>
    </row>
    <row r="23" spans="1:8" ht="14.25">
      <c r="A23" s="58" t="s">
        <v>67</v>
      </c>
      <c r="B23">
        <v>38</v>
      </c>
      <c r="C23" s="58" t="s">
        <v>68</v>
      </c>
      <c r="D23">
        <v>38</v>
      </c>
      <c r="F23" t="s">
        <v>10</v>
      </c>
      <c r="G23" s="58" t="s">
        <v>69</v>
      </c>
      <c r="H23" s="6">
        <v>0</v>
      </c>
    </row>
    <row r="24" spans="1:8" ht="14.25">
      <c r="A24" s="58" t="s">
        <v>70</v>
      </c>
      <c r="B24">
        <v>28</v>
      </c>
      <c r="C24" s="58" t="s">
        <v>71</v>
      </c>
      <c r="D24">
        <v>28</v>
      </c>
      <c r="F24" t="s">
        <v>10</v>
      </c>
      <c r="G24" s="58" t="s">
        <v>72</v>
      </c>
      <c r="H24" s="6">
        <v>0</v>
      </c>
    </row>
    <row r="25" spans="1:8" ht="14.25">
      <c r="A25" s="58" t="s">
        <v>73</v>
      </c>
      <c r="B25">
        <v>23</v>
      </c>
      <c r="C25" s="58" t="s">
        <v>74</v>
      </c>
      <c r="D25">
        <v>23</v>
      </c>
      <c r="F25" t="s">
        <v>10</v>
      </c>
      <c r="G25" s="58" t="s">
        <v>75</v>
      </c>
      <c r="H25" s="6">
        <v>0</v>
      </c>
    </row>
    <row r="26" spans="1:8" ht="14.25">
      <c r="A26" s="58" t="s">
        <v>76</v>
      </c>
      <c r="B26">
        <v>23</v>
      </c>
      <c r="C26" s="58" t="s">
        <v>77</v>
      </c>
      <c r="D26">
        <v>23</v>
      </c>
      <c r="F26" t="s">
        <v>10</v>
      </c>
      <c r="G26" s="58" t="s">
        <v>78</v>
      </c>
      <c r="H26" s="6">
        <v>0</v>
      </c>
    </row>
    <row r="27" spans="1:8" ht="14.25">
      <c r="A27" s="58" t="s">
        <v>79</v>
      </c>
      <c r="B27">
        <v>23</v>
      </c>
      <c r="C27" s="58" t="s">
        <v>80</v>
      </c>
      <c r="D27">
        <v>23</v>
      </c>
      <c r="F27" t="s">
        <v>10</v>
      </c>
      <c r="G27" s="58" t="s">
        <v>81</v>
      </c>
      <c r="H27" s="6">
        <v>0</v>
      </c>
    </row>
    <row r="28" spans="1:8" ht="14.25">
      <c r="A28" s="58" t="s">
        <v>82</v>
      </c>
      <c r="B28">
        <v>25</v>
      </c>
      <c r="C28" s="58" t="s">
        <v>83</v>
      </c>
      <c r="D28">
        <v>25</v>
      </c>
      <c r="F28" t="s">
        <v>10</v>
      </c>
      <c r="G28" s="58" t="s">
        <v>84</v>
      </c>
      <c r="H28" s="6">
        <v>0</v>
      </c>
    </row>
    <row r="29" spans="1:8" ht="28.5">
      <c r="A29" s="58" t="s">
        <v>85</v>
      </c>
      <c r="B29">
        <v>23</v>
      </c>
      <c r="C29" s="58" t="s">
        <v>86</v>
      </c>
      <c r="D29">
        <v>23</v>
      </c>
      <c r="F29" t="s">
        <v>10</v>
      </c>
      <c r="G29" s="58" t="s">
        <v>87</v>
      </c>
      <c r="H29" s="6">
        <v>0</v>
      </c>
    </row>
    <row r="30" spans="1:8" ht="28.5">
      <c r="A30" s="58" t="s">
        <v>88</v>
      </c>
      <c r="B30">
        <v>23</v>
      </c>
      <c r="C30" s="58" t="s">
        <v>89</v>
      </c>
      <c r="D30">
        <v>23</v>
      </c>
      <c r="F30" t="s">
        <v>10</v>
      </c>
      <c r="G30" s="58" t="s">
        <v>90</v>
      </c>
      <c r="H30" s="6">
        <v>0</v>
      </c>
    </row>
    <row r="31" spans="1:8" ht="14.25">
      <c r="A31" s="58" t="s">
        <v>48</v>
      </c>
      <c r="B31">
        <f>SUM(B16:B30)</f>
        <v>516</v>
      </c>
      <c r="C31" s="58" t="s">
        <v>48</v>
      </c>
      <c r="D31">
        <f>SUM(D16:D30)</f>
        <v>516</v>
      </c>
      <c r="G31">
        <v>320</v>
      </c>
      <c r="H31" s="6">
        <v>320</v>
      </c>
    </row>
    <row r="32" spans="1:8" ht="14.25">
      <c r="A32" s="58" t="s">
        <v>91</v>
      </c>
      <c r="B32">
        <v>43</v>
      </c>
      <c r="C32" s="58" t="s">
        <v>92</v>
      </c>
      <c r="D32">
        <v>43</v>
      </c>
      <c r="F32" t="s">
        <v>14</v>
      </c>
      <c r="G32" s="58" t="s">
        <v>93</v>
      </c>
      <c r="H32" s="6">
        <v>0</v>
      </c>
    </row>
    <row r="33" spans="1:8" ht="14.25">
      <c r="A33" s="58" t="s">
        <v>94</v>
      </c>
      <c r="B33">
        <v>28</v>
      </c>
      <c r="C33" s="58" t="s">
        <v>95</v>
      </c>
      <c r="D33">
        <v>28</v>
      </c>
      <c r="F33" t="s">
        <v>10</v>
      </c>
      <c r="G33" s="58" t="s">
        <v>96</v>
      </c>
      <c r="H33" s="6">
        <v>0</v>
      </c>
    </row>
    <row r="34" spans="1:8" ht="14.25">
      <c r="A34" s="58" t="s">
        <v>97</v>
      </c>
      <c r="B34">
        <v>46</v>
      </c>
      <c r="C34" s="58" t="s">
        <v>98</v>
      </c>
      <c r="D34">
        <v>46</v>
      </c>
      <c r="F34" t="s">
        <v>10</v>
      </c>
      <c r="G34" s="58" t="s">
        <v>99</v>
      </c>
      <c r="H34" s="6">
        <v>0</v>
      </c>
    </row>
    <row r="35" spans="1:8" ht="14.25">
      <c r="A35" s="58" t="s">
        <v>100</v>
      </c>
      <c r="B35">
        <v>30</v>
      </c>
      <c r="C35" s="58" t="s">
        <v>101</v>
      </c>
      <c r="D35">
        <v>30</v>
      </c>
      <c r="F35" t="s">
        <v>10</v>
      </c>
      <c r="G35" s="58" t="s">
        <v>102</v>
      </c>
      <c r="H35" s="6">
        <v>0</v>
      </c>
    </row>
    <row r="36" spans="1:8" ht="14.25">
      <c r="A36" s="58" t="s">
        <v>103</v>
      </c>
      <c r="B36">
        <v>42</v>
      </c>
      <c r="C36" s="58" t="s">
        <v>104</v>
      </c>
      <c r="D36">
        <v>42</v>
      </c>
      <c r="F36" t="s">
        <v>10</v>
      </c>
      <c r="G36" s="58" t="s">
        <v>105</v>
      </c>
      <c r="H36" s="6">
        <v>0</v>
      </c>
    </row>
    <row r="37" spans="1:8" ht="14.25">
      <c r="A37" s="58" t="s">
        <v>93</v>
      </c>
      <c r="B37">
        <f>SUM(B32:B36)</f>
        <v>189</v>
      </c>
      <c r="C37" s="58" t="s">
        <v>93</v>
      </c>
      <c r="D37">
        <f>SUM(D32:D36)</f>
        <v>189</v>
      </c>
      <c r="G37">
        <v>151</v>
      </c>
      <c r="H37" s="6">
        <v>151</v>
      </c>
    </row>
    <row r="38" spans="1:8" ht="14.25">
      <c r="A38" s="58" t="s">
        <v>106</v>
      </c>
      <c r="B38">
        <v>44</v>
      </c>
      <c r="C38" s="58" t="s">
        <v>107</v>
      </c>
      <c r="D38">
        <v>44</v>
      </c>
      <c r="F38" t="s">
        <v>14</v>
      </c>
      <c r="G38" s="58" t="s">
        <v>108</v>
      </c>
      <c r="H38" s="6">
        <v>0</v>
      </c>
    </row>
    <row r="39" spans="1:8" ht="14.25">
      <c r="A39" s="58" t="s">
        <v>109</v>
      </c>
      <c r="B39">
        <v>35</v>
      </c>
      <c r="C39" s="58" t="s">
        <v>110</v>
      </c>
      <c r="D39">
        <v>35</v>
      </c>
      <c r="F39" t="s">
        <v>10</v>
      </c>
      <c r="G39" s="58" t="s">
        <v>111</v>
      </c>
      <c r="H39" s="6">
        <v>0</v>
      </c>
    </row>
    <row r="40" spans="1:8" ht="14.25">
      <c r="A40" s="58" t="s">
        <v>112</v>
      </c>
      <c r="B40">
        <v>20</v>
      </c>
      <c r="C40" s="58" t="s">
        <v>113</v>
      </c>
      <c r="D40">
        <v>20</v>
      </c>
      <c r="F40" t="s">
        <v>10</v>
      </c>
      <c r="G40" s="58" t="s">
        <v>114</v>
      </c>
      <c r="H40" s="6">
        <v>0</v>
      </c>
    </row>
    <row r="41" spans="1:8" ht="14.25">
      <c r="A41" s="58" t="s">
        <v>115</v>
      </c>
      <c r="B41">
        <v>21</v>
      </c>
      <c r="C41" s="58" t="s">
        <v>116</v>
      </c>
      <c r="D41">
        <v>21</v>
      </c>
      <c r="F41" t="s">
        <v>10</v>
      </c>
      <c r="G41" s="58" t="s">
        <v>117</v>
      </c>
      <c r="H41" s="6">
        <v>0</v>
      </c>
    </row>
    <row r="42" spans="1:8" ht="28.5">
      <c r="A42" s="58" t="s">
        <v>118</v>
      </c>
      <c r="B42">
        <v>21</v>
      </c>
      <c r="C42" s="58" t="s">
        <v>119</v>
      </c>
      <c r="D42">
        <v>21</v>
      </c>
      <c r="F42" t="s">
        <v>10</v>
      </c>
      <c r="G42" s="58" t="s">
        <v>120</v>
      </c>
      <c r="H42" s="6">
        <v>0</v>
      </c>
    </row>
    <row r="43" spans="1:8" ht="28.5">
      <c r="A43" s="58" t="s">
        <v>121</v>
      </c>
      <c r="B43">
        <v>19</v>
      </c>
      <c r="C43" s="58" t="s">
        <v>122</v>
      </c>
      <c r="D43">
        <v>19</v>
      </c>
      <c r="F43" t="s">
        <v>10</v>
      </c>
      <c r="G43" s="58" t="s">
        <v>123</v>
      </c>
      <c r="H43" s="6">
        <v>0</v>
      </c>
    </row>
    <row r="44" spans="1:8" ht="28.5">
      <c r="A44" s="58" t="s">
        <v>124</v>
      </c>
      <c r="B44">
        <v>19</v>
      </c>
      <c r="C44" s="58" t="s">
        <v>125</v>
      </c>
      <c r="D44">
        <v>19</v>
      </c>
      <c r="F44" t="s">
        <v>10</v>
      </c>
      <c r="G44" s="58" t="s">
        <v>126</v>
      </c>
      <c r="H44" s="6">
        <v>0</v>
      </c>
    </row>
    <row r="45" spans="1:8" ht="14.25">
      <c r="A45" s="58" t="s">
        <v>108</v>
      </c>
      <c r="B45">
        <f>SUM(B38:B44)</f>
        <v>179</v>
      </c>
      <c r="C45" s="58" t="s">
        <v>108</v>
      </c>
      <c r="D45">
        <f>SUM(D38:D44)</f>
        <v>179</v>
      </c>
      <c r="G45">
        <v>137</v>
      </c>
      <c r="H45" s="6">
        <v>137</v>
      </c>
    </row>
    <row r="46" spans="1:8" ht="14.25">
      <c r="A46" s="58" t="s">
        <v>127</v>
      </c>
      <c r="B46">
        <v>55</v>
      </c>
      <c r="C46" s="58" t="s">
        <v>128</v>
      </c>
      <c r="D46">
        <v>55</v>
      </c>
      <c r="F46" t="s">
        <v>14</v>
      </c>
      <c r="G46" s="58" t="s">
        <v>129</v>
      </c>
      <c r="H46" s="6">
        <v>0</v>
      </c>
    </row>
    <row r="47" spans="1:8" ht="14.25">
      <c r="A47" s="58" t="s">
        <v>130</v>
      </c>
      <c r="B47">
        <v>46</v>
      </c>
      <c r="C47" s="58" t="s">
        <v>131</v>
      </c>
      <c r="D47">
        <v>46</v>
      </c>
      <c r="F47" t="s">
        <v>10</v>
      </c>
      <c r="G47" s="58" t="s">
        <v>132</v>
      </c>
      <c r="H47" s="6">
        <v>0</v>
      </c>
    </row>
    <row r="48" spans="1:8" ht="14.25">
      <c r="A48" s="58" t="s">
        <v>133</v>
      </c>
      <c r="B48">
        <v>35</v>
      </c>
      <c r="C48" s="58" t="s">
        <v>134</v>
      </c>
      <c r="D48">
        <v>35</v>
      </c>
      <c r="F48" t="s">
        <v>10</v>
      </c>
      <c r="G48" s="58" t="s">
        <v>135</v>
      </c>
      <c r="H48" s="6">
        <v>0</v>
      </c>
    </row>
    <row r="49" spans="1:8" ht="14.25">
      <c r="A49" s="58" t="s">
        <v>136</v>
      </c>
      <c r="B49">
        <v>38</v>
      </c>
      <c r="C49" s="58" t="s">
        <v>137</v>
      </c>
      <c r="D49">
        <v>38</v>
      </c>
      <c r="F49" t="s">
        <v>10</v>
      </c>
      <c r="G49" s="58" t="s">
        <v>138</v>
      </c>
      <c r="H49" s="6">
        <v>0</v>
      </c>
    </row>
    <row r="50" spans="1:8" ht="14.25">
      <c r="A50" s="58" t="s">
        <v>139</v>
      </c>
      <c r="B50">
        <v>33</v>
      </c>
      <c r="C50" s="58" t="s">
        <v>140</v>
      </c>
      <c r="D50">
        <v>33</v>
      </c>
      <c r="F50" t="s">
        <v>10</v>
      </c>
      <c r="G50" s="58" t="s">
        <v>141</v>
      </c>
      <c r="H50" s="6">
        <v>0</v>
      </c>
    </row>
    <row r="51" spans="1:8" ht="14.25">
      <c r="A51" s="58" t="s">
        <v>142</v>
      </c>
      <c r="B51">
        <v>34</v>
      </c>
      <c r="C51" s="58" t="s">
        <v>143</v>
      </c>
      <c r="D51">
        <v>34</v>
      </c>
      <c r="F51" t="s">
        <v>10</v>
      </c>
      <c r="G51" s="58" t="s">
        <v>144</v>
      </c>
      <c r="H51" s="6">
        <v>0</v>
      </c>
    </row>
    <row r="52" spans="1:8" ht="14.25">
      <c r="A52" s="58" t="s">
        <v>145</v>
      </c>
      <c r="B52">
        <v>28</v>
      </c>
      <c r="C52" s="58" t="s">
        <v>146</v>
      </c>
      <c r="D52">
        <v>28</v>
      </c>
      <c r="F52" t="s">
        <v>10</v>
      </c>
      <c r="G52" s="58" t="s">
        <v>147</v>
      </c>
      <c r="H52" s="6">
        <v>0</v>
      </c>
    </row>
    <row r="53" spans="1:8" ht="14.25">
      <c r="A53" s="58" t="s">
        <v>148</v>
      </c>
      <c r="B53">
        <v>43</v>
      </c>
      <c r="C53" s="58" t="s">
        <v>149</v>
      </c>
      <c r="D53">
        <v>43</v>
      </c>
      <c r="F53" t="s">
        <v>10</v>
      </c>
      <c r="G53" s="58" t="s">
        <v>150</v>
      </c>
      <c r="H53" s="6">
        <v>0</v>
      </c>
    </row>
    <row r="54" spans="1:8" ht="28.5">
      <c r="A54" s="58" t="s">
        <v>151</v>
      </c>
      <c r="B54">
        <v>28</v>
      </c>
      <c r="C54" s="58" t="s">
        <v>152</v>
      </c>
      <c r="D54">
        <v>28</v>
      </c>
      <c r="F54" t="s">
        <v>10</v>
      </c>
      <c r="G54" s="58" t="s">
        <v>153</v>
      </c>
      <c r="H54" s="6">
        <v>0</v>
      </c>
    </row>
    <row r="55" spans="1:8" ht="14.25">
      <c r="A55" s="58" t="s">
        <v>129</v>
      </c>
      <c r="B55">
        <f>SUM(B46:B54)</f>
        <v>340</v>
      </c>
      <c r="C55" s="58" t="s">
        <v>129</v>
      </c>
      <c r="D55">
        <f>SUM(D46:D54)</f>
        <v>340</v>
      </c>
      <c r="G55">
        <v>247</v>
      </c>
      <c r="H55" s="6">
        <v>247</v>
      </c>
    </row>
    <row r="56" spans="1:8" ht="14.25">
      <c r="A56" s="58" t="s">
        <v>154</v>
      </c>
      <c r="B56">
        <v>42</v>
      </c>
      <c r="C56" s="58" t="s">
        <v>155</v>
      </c>
      <c r="D56">
        <v>42</v>
      </c>
      <c r="F56" t="s">
        <v>14</v>
      </c>
      <c r="G56" s="58" t="s">
        <v>156</v>
      </c>
      <c r="H56" s="6">
        <v>0</v>
      </c>
    </row>
    <row r="57" spans="1:8" ht="14.25">
      <c r="A57" s="58" t="s">
        <v>157</v>
      </c>
      <c r="B57">
        <v>27</v>
      </c>
      <c r="C57" s="58" t="s">
        <v>158</v>
      </c>
      <c r="D57">
        <v>27</v>
      </c>
      <c r="F57" t="s">
        <v>10</v>
      </c>
      <c r="G57" s="58" t="s">
        <v>159</v>
      </c>
      <c r="H57" s="6">
        <v>0</v>
      </c>
    </row>
    <row r="58" spans="1:8" ht="14.25">
      <c r="A58" s="58" t="s">
        <v>160</v>
      </c>
      <c r="B58">
        <v>14</v>
      </c>
      <c r="C58" s="58" t="s">
        <v>161</v>
      </c>
      <c r="D58">
        <v>14</v>
      </c>
      <c r="F58" t="s">
        <v>10</v>
      </c>
      <c r="G58" s="58" t="s">
        <v>162</v>
      </c>
      <c r="H58" s="6">
        <v>0</v>
      </c>
    </row>
    <row r="59" spans="1:8" ht="14.25">
      <c r="A59" s="58" t="s">
        <v>163</v>
      </c>
      <c r="B59">
        <v>22</v>
      </c>
      <c r="C59" s="58" t="s">
        <v>164</v>
      </c>
      <c r="D59">
        <v>22</v>
      </c>
      <c r="F59" t="s">
        <v>10</v>
      </c>
      <c r="G59" s="58" t="s">
        <v>165</v>
      </c>
      <c r="H59" s="6">
        <v>0</v>
      </c>
    </row>
    <row r="60" spans="1:8" ht="14.25">
      <c r="A60" s="58" t="s">
        <v>166</v>
      </c>
      <c r="B60">
        <v>16</v>
      </c>
      <c r="C60" s="58" t="s">
        <v>167</v>
      </c>
      <c r="D60">
        <v>16</v>
      </c>
      <c r="F60" t="s">
        <v>10</v>
      </c>
      <c r="G60" s="58" t="s">
        <v>168</v>
      </c>
      <c r="H60" s="6">
        <v>0</v>
      </c>
    </row>
    <row r="61" spans="1:8" ht="14.25">
      <c r="A61" s="58" t="s">
        <v>169</v>
      </c>
      <c r="B61">
        <v>16</v>
      </c>
      <c r="C61" s="58" t="s">
        <v>170</v>
      </c>
      <c r="D61">
        <v>16</v>
      </c>
      <c r="F61" t="s">
        <v>10</v>
      </c>
      <c r="G61" s="58" t="s">
        <v>171</v>
      </c>
      <c r="H61" s="6">
        <v>0</v>
      </c>
    </row>
    <row r="62" spans="1:8" ht="14.25">
      <c r="A62" s="58" t="s">
        <v>172</v>
      </c>
      <c r="B62">
        <v>20</v>
      </c>
      <c r="C62" s="58" t="s">
        <v>173</v>
      </c>
      <c r="D62">
        <v>20</v>
      </c>
      <c r="F62" t="s">
        <v>10</v>
      </c>
      <c r="G62" s="58" t="s">
        <v>174</v>
      </c>
      <c r="H62" s="6">
        <v>0</v>
      </c>
    </row>
    <row r="63" spans="1:8" ht="28.5">
      <c r="A63" s="58" t="s">
        <v>175</v>
      </c>
      <c r="B63">
        <v>20</v>
      </c>
      <c r="C63" s="58" t="s">
        <v>176</v>
      </c>
      <c r="D63">
        <v>20</v>
      </c>
      <c r="F63" t="s">
        <v>10</v>
      </c>
      <c r="G63" s="58" t="s">
        <v>177</v>
      </c>
      <c r="H63" s="6">
        <v>0</v>
      </c>
    </row>
    <row r="64" spans="1:8" ht="14.25">
      <c r="A64" s="58" t="s">
        <v>178</v>
      </c>
      <c r="B64">
        <v>22</v>
      </c>
      <c r="C64" s="58" t="s">
        <v>179</v>
      </c>
      <c r="D64">
        <v>22</v>
      </c>
      <c r="F64" t="s">
        <v>10</v>
      </c>
      <c r="G64" s="58" t="s">
        <v>180</v>
      </c>
      <c r="H64" s="6">
        <v>0</v>
      </c>
    </row>
    <row r="65" spans="1:8" ht="14.25">
      <c r="A65" s="58" t="s">
        <v>181</v>
      </c>
      <c r="B65">
        <v>22</v>
      </c>
      <c r="C65" s="58" t="s">
        <v>182</v>
      </c>
      <c r="D65">
        <v>22</v>
      </c>
      <c r="F65" t="s">
        <v>10</v>
      </c>
      <c r="G65" s="58" t="s">
        <v>183</v>
      </c>
      <c r="H65" s="6">
        <v>0</v>
      </c>
    </row>
    <row r="66" spans="1:8" ht="14.25">
      <c r="A66" s="58" t="s">
        <v>184</v>
      </c>
      <c r="B66">
        <v>22</v>
      </c>
      <c r="C66" s="58" t="s">
        <v>185</v>
      </c>
      <c r="D66">
        <v>22</v>
      </c>
      <c r="F66" t="s">
        <v>10</v>
      </c>
      <c r="G66" s="58" t="s">
        <v>186</v>
      </c>
      <c r="H66" s="6">
        <v>0</v>
      </c>
    </row>
    <row r="67" spans="1:8" ht="14.25">
      <c r="A67" s="58" t="s">
        <v>156</v>
      </c>
      <c r="B67">
        <f>SUM(B56:B66)</f>
        <v>243</v>
      </c>
      <c r="C67" s="58" t="s">
        <v>156</v>
      </c>
      <c r="D67">
        <f>SUM(D56:D66)</f>
        <v>243</v>
      </c>
      <c r="G67">
        <v>174</v>
      </c>
      <c r="H67" s="6">
        <v>174</v>
      </c>
    </row>
    <row r="68" spans="1:8" ht="28.5">
      <c r="A68" s="58" t="s">
        <v>187</v>
      </c>
      <c r="B68">
        <v>44</v>
      </c>
      <c r="C68" s="58" t="s">
        <v>188</v>
      </c>
      <c r="D68">
        <v>44</v>
      </c>
      <c r="F68" t="s">
        <v>14</v>
      </c>
      <c r="G68" s="58" t="s">
        <v>189</v>
      </c>
      <c r="H68" s="6">
        <v>0</v>
      </c>
    </row>
    <row r="69" spans="1:8" ht="14.25">
      <c r="A69" s="58" t="s">
        <v>190</v>
      </c>
      <c r="B69">
        <v>31</v>
      </c>
      <c r="C69" s="58" t="s">
        <v>191</v>
      </c>
      <c r="D69">
        <v>31</v>
      </c>
      <c r="F69" t="s">
        <v>10</v>
      </c>
      <c r="G69" s="58" t="s">
        <v>192</v>
      </c>
      <c r="H69" s="6">
        <v>0</v>
      </c>
    </row>
    <row r="70" spans="1:8" ht="14.25">
      <c r="A70" s="58" t="s">
        <v>193</v>
      </c>
      <c r="B70">
        <v>13</v>
      </c>
      <c r="C70" s="58" t="s">
        <v>194</v>
      </c>
      <c r="D70">
        <v>13</v>
      </c>
      <c r="F70" t="s">
        <v>10</v>
      </c>
      <c r="G70" s="58" t="s">
        <v>195</v>
      </c>
      <c r="H70" s="6">
        <v>0</v>
      </c>
    </row>
    <row r="71" spans="1:8" ht="14.25">
      <c r="A71" s="58" t="s">
        <v>196</v>
      </c>
      <c r="B71">
        <v>14</v>
      </c>
      <c r="C71" s="58" t="s">
        <v>197</v>
      </c>
      <c r="D71">
        <v>14</v>
      </c>
      <c r="F71" t="s">
        <v>10</v>
      </c>
      <c r="G71" s="58" t="s">
        <v>198</v>
      </c>
      <c r="H71" s="6">
        <v>0</v>
      </c>
    </row>
    <row r="72" spans="1:8" ht="14.25">
      <c r="A72" s="58" t="s">
        <v>199</v>
      </c>
      <c r="B72">
        <v>19</v>
      </c>
      <c r="C72" s="58" t="s">
        <v>200</v>
      </c>
      <c r="D72">
        <v>19</v>
      </c>
      <c r="F72" t="s">
        <v>10</v>
      </c>
      <c r="G72" s="58" t="s">
        <v>201</v>
      </c>
      <c r="H72" s="6">
        <v>0</v>
      </c>
    </row>
    <row r="73" spans="1:8" ht="14.25">
      <c r="A73" s="58" t="s">
        <v>202</v>
      </c>
      <c r="B73">
        <v>13</v>
      </c>
      <c r="C73" s="58" t="s">
        <v>203</v>
      </c>
      <c r="D73">
        <v>13</v>
      </c>
      <c r="F73" t="s">
        <v>10</v>
      </c>
      <c r="G73" s="58" t="s">
        <v>204</v>
      </c>
      <c r="H73" s="6">
        <v>0</v>
      </c>
    </row>
    <row r="74" spans="1:8" ht="14.25">
      <c r="A74" s="58" t="s">
        <v>205</v>
      </c>
      <c r="B74">
        <v>18</v>
      </c>
      <c r="C74" s="58" t="s">
        <v>206</v>
      </c>
      <c r="D74">
        <v>18</v>
      </c>
      <c r="F74" t="s">
        <v>10</v>
      </c>
      <c r="G74" s="58" t="s">
        <v>207</v>
      </c>
      <c r="H74" s="6">
        <v>0</v>
      </c>
    </row>
    <row r="75" spans="1:8" ht="14.25">
      <c r="A75" s="58" t="s">
        <v>208</v>
      </c>
      <c r="B75">
        <v>14</v>
      </c>
      <c r="C75" s="58" t="s">
        <v>209</v>
      </c>
      <c r="D75">
        <v>14</v>
      </c>
      <c r="F75" t="s">
        <v>10</v>
      </c>
      <c r="G75" s="58" t="s">
        <v>210</v>
      </c>
      <c r="H75" s="6">
        <v>0</v>
      </c>
    </row>
    <row r="76" spans="1:8" ht="14.25">
      <c r="A76" s="58" t="s">
        <v>211</v>
      </c>
      <c r="B76">
        <v>15</v>
      </c>
      <c r="C76" s="58" t="s">
        <v>212</v>
      </c>
      <c r="D76">
        <v>15</v>
      </c>
      <c r="F76" t="s">
        <v>10</v>
      </c>
      <c r="G76" s="58" t="s">
        <v>213</v>
      </c>
      <c r="H76" s="6">
        <v>0</v>
      </c>
    </row>
    <row r="77" spans="1:8" ht="14.25">
      <c r="A77" s="58" t="s">
        <v>214</v>
      </c>
      <c r="B77">
        <v>20</v>
      </c>
      <c r="C77" s="58" t="s">
        <v>215</v>
      </c>
      <c r="D77">
        <v>20</v>
      </c>
      <c r="F77" t="s">
        <v>10</v>
      </c>
      <c r="G77" s="58" t="s">
        <v>216</v>
      </c>
      <c r="H77" s="6">
        <v>0</v>
      </c>
    </row>
    <row r="78" spans="1:8" ht="14.25">
      <c r="A78" s="58" t="s">
        <v>217</v>
      </c>
      <c r="B78">
        <v>16</v>
      </c>
      <c r="C78" s="58" t="s">
        <v>218</v>
      </c>
      <c r="D78">
        <v>16</v>
      </c>
      <c r="F78" t="s">
        <v>10</v>
      </c>
      <c r="G78" s="58" t="s">
        <v>219</v>
      </c>
      <c r="H78" s="6">
        <v>0</v>
      </c>
    </row>
    <row r="79" spans="1:8" ht="14.25">
      <c r="A79" s="58" t="s">
        <v>220</v>
      </c>
      <c r="B79">
        <v>21</v>
      </c>
      <c r="C79" s="58" t="s">
        <v>221</v>
      </c>
      <c r="D79">
        <v>21</v>
      </c>
      <c r="F79" t="s">
        <v>10</v>
      </c>
      <c r="G79" s="58" t="s">
        <v>222</v>
      </c>
      <c r="H79" s="6">
        <v>0</v>
      </c>
    </row>
    <row r="80" spans="1:8" ht="14.25">
      <c r="A80" s="58" t="s">
        <v>223</v>
      </c>
      <c r="B80">
        <v>17</v>
      </c>
      <c r="C80" s="58" t="s">
        <v>224</v>
      </c>
      <c r="D80">
        <v>17</v>
      </c>
      <c r="F80" t="s">
        <v>10</v>
      </c>
      <c r="G80" s="58" t="s">
        <v>225</v>
      </c>
      <c r="H80" s="6">
        <v>0</v>
      </c>
    </row>
    <row r="81" spans="1:8" ht="14.25">
      <c r="A81" s="58" t="s">
        <v>226</v>
      </c>
      <c r="B81">
        <v>20</v>
      </c>
      <c r="C81" s="58" t="s">
        <v>227</v>
      </c>
      <c r="D81">
        <v>20</v>
      </c>
      <c r="F81" t="s">
        <v>10</v>
      </c>
      <c r="G81" s="58" t="s">
        <v>228</v>
      </c>
      <c r="H81" s="6">
        <v>0</v>
      </c>
    </row>
    <row r="82" spans="1:8" ht="14.25">
      <c r="A82" s="58" t="s">
        <v>229</v>
      </c>
      <c r="B82">
        <v>13</v>
      </c>
      <c r="C82" s="58" t="s">
        <v>230</v>
      </c>
      <c r="D82">
        <v>13</v>
      </c>
      <c r="F82" t="s">
        <v>10</v>
      </c>
      <c r="G82" s="58" t="s">
        <v>231</v>
      </c>
      <c r="H82" s="6">
        <v>0</v>
      </c>
    </row>
    <row r="83" spans="1:8" ht="14.25">
      <c r="A83" s="58" t="s">
        <v>232</v>
      </c>
      <c r="B83">
        <v>13</v>
      </c>
      <c r="C83" s="58" t="s">
        <v>233</v>
      </c>
      <c r="D83">
        <v>13</v>
      </c>
      <c r="F83" t="s">
        <v>10</v>
      </c>
      <c r="G83" s="58" t="s">
        <v>234</v>
      </c>
      <c r="H83" s="6">
        <v>0</v>
      </c>
    </row>
    <row r="84" spans="1:8" ht="14.25">
      <c r="A84" s="58" t="s">
        <v>235</v>
      </c>
      <c r="B84">
        <v>13</v>
      </c>
      <c r="C84" s="58" t="s">
        <v>236</v>
      </c>
      <c r="D84">
        <v>13</v>
      </c>
      <c r="F84" t="s">
        <v>10</v>
      </c>
      <c r="G84" s="58" t="s">
        <v>237</v>
      </c>
      <c r="H84" s="6">
        <v>0</v>
      </c>
    </row>
    <row r="85" spans="1:8" ht="14.25">
      <c r="A85" s="58" t="s">
        <v>189</v>
      </c>
      <c r="B85">
        <f>SUM(B68:B84)</f>
        <v>314</v>
      </c>
      <c r="C85" s="58" t="s">
        <v>189</v>
      </c>
      <c r="D85">
        <f>SUM(D68:D84)</f>
        <v>314</v>
      </c>
      <c r="G85">
        <v>244</v>
      </c>
      <c r="H85" s="6">
        <v>244</v>
      </c>
    </row>
    <row r="86" spans="1:8" ht="28.5">
      <c r="A86" s="58" t="s">
        <v>238</v>
      </c>
      <c r="B86">
        <v>45</v>
      </c>
      <c r="C86" s="58" t="s">
        <v>239</v>
      </c>
      <c r="D86">
        <v>45</v>
      </c>
      <c r="F86" t="s">
        <v>14</v>
      </c>
      <c r="G86" s="58" t="s">
        <v>240</v>
      </c>
      <c r="H86" s="6">
        <v>0</v>
      </c>
    </row>
    <row r="87" spans="1:8" ht="14.25">
      <c r="A87" s="58" t="s">
        <v>241</v>
      </c>
      <c r="B87">
        <v>32</v>
      </c>
      <c r="C87" s="58" t="s">
        <v>242</v>
      </c>
      <c r="D87">
        <v>32</v>
      </c>
      <c r="F87" t="s">
        <v>10</v>
      </c>
      <c r="G87" s="58" t="s">
        <v>243</v>
      </c>
      <c r="H87" s="6">
        <v>0</v>
      </c>
    </row>
    <row r="88" spans="1:8" ht="14.25">
      <c r="A88" s="58" t="s">
        <v>244</v>
      </c>
      <c r="B88">
        <v>24</v>
      </c>
      <c r="C88" s="58" t="s">
        <v>245</v>
      </c>
      <c r="D88">
        <v>24</v>
      </c>
      <c r="F88" t="s">
        <v>10</v>
      </c>
      <c r="G88" s="58" t="s">
        <v>246</v>
      </c>
      <c r="H88" s="6">
        <v>0</v>
      </c>
    </row>
    <row r="89" spans="1:8" ht="14.25">
      <c r="A89" s="58" t="s">
        <v>247</v>
      </c>
      <c r="B89">
        <v>37</v>
      </c>
      <c r="C89" s="58" t="s">
        <v>248</v>
      </c>
      <c r="D89">
        <v>37</v>
      </c>
      <c r="F89" t="s">
        <v>10</v>
      </c>
      <c r="G89" s="58" t="s">
        <v>249</v>
      </c>
      <c r="H89" s="6">
        <v>0</v>
      </c>
    </row>
    <row r="90" spans="1:8" ht="14.25">
      <c r="A90" s="58" t="s">
        <v>250</v>
      </c>
      <c r="B90">
        <v>21</v>
      </c>
      <c r="C90" s="58" t="s">
        <v>251</v>
      </c>
      <c r="D90">
        <v>21</v>
      </c>
      <c r="F90" t="s">
        <v>10</v>
      </c>
      <c r="G90" s="58" t="s">
        <v>252</v>
      </c>
      <c r="H90" s="6">
        <v>0</v>
      </c>
    </row>
    <row r="91" spans="1:8" ht="14.25">
      <c r="A91" s="58" t="s">
        <v>253</v>
      </c>
      <c r="B91">
        <v>19</v>
      </c>
      <c r="C91" s="58" t="s">
        <v>254</v>
      </c>
      <c r="D91">
        <v>19</v>
      </c>
      <c r="F91" t="s">
        <v>10</v>
      </c>
      <c r="G91" s="58" t="s">
        <v>255</v>
      </c>
      <c r="H91" s="6">
        <v>0</v>
      </c>
    </row>
    <row r="92" spans="1:8" ht="14.25">
      <c r="A92" s="58" t="s">
        <v>256</v>
      </c>
      <c r="B92">
        <v>19</v>
      </c>
      <c r="C92" s="58" t="s">
        <v>257</v>
      </c>
      <c r="D92">
        <v>19</v>
      </c>
      <c r="F92" t="s">
        <v>10</v>
      </c>
      <c r="G92" s="58" t="s">
        <v>258</v>
      </c>
      <c r="H92" s="6">
        <v>0</v>
      </c>
    </row>
    <row r="93" spans="1:8" ht="14.25">
      <c r="A93" s="58" t="s">
        <v>259</v>
      </c>
      <c r="B93">
        <v>18</v>
      </c>
      <c r="C93" s="58" t="s">
        <v>260</v>
      </c>
      <c r="D93">
        <v>18</v>
      </c>
      <c r="F93" t="s">
        <v>10</v>
      </c>
      <c r="G93" s="58" t="s">
        <v>261</v>
      </c>
      <c r="H93" s="6">
        <v>0</v>
      </c>
    </row>
    <row r="94" spans="1:8" ht="14.25">
      <c r="A94" s="58" t="s">
        <v>262</v>
      </c>
      <c r="B94">
        <v>19</v>
      </c>
      <c r="C94" s="58" t="s">
        <v>263</v>
      </c>
      <c r="D94">
        <v>19</v>
      </c>
      <c r="F94" t="s">
        <v>10</v>
      </c>
      <c r="G94" s="58" t="s">
        <v>264</v>
      </c>
      <c r="H94" s="6">
        <v>0</v>
      </c>
    </row>
    <row r="95" spans="1:8" ht="14.25">
      <c r="A95" s="58" t="s">
        <v>265</v>
      </c>
      <c r="B95">
        <v>19</v>
      </c>
      <c r="C95" s="58" t="s">
        <v>266</v>
      </c>
      <c r="D95">
        <v>19</v>
      </c>
      <c r="F95" t="s">
        <v>10</v>
      </c>
      <c r="G95" s="58" t="s">
        <v>267</v>
      </c>
      <c r="H95" s="6">
        <v>0</v>
      </c>
    </row>
    <row r="96" spans="1:8" ht="14.25">
      <c r="A96" s="58" t="s">
        <v>268</v>
      </c>
      <c r="B96">
        <v>19</v>
      </c>
      <c r="C96" s="58" t="s">
        <v>269</v>
      </c>
      <c r="D96">
        <v>19</v>
      </c>
      <c r="F96" t="s">
        <v>10</v>
      </c>
      <c r="G96" s="58" t="s">
        <v>270</v>
      </c>
      <c r="H96" s="6">
        <v>0</v>
      </c>
    </row>
    <row r="97" spans="1:8" ht="14.25">
      <c r="A97" s="58" t="s">
        <v>271</v>
      </c>
      <c r="B97">
        <v>18</v>
      </c>
      <c r="C97" s="58" t="s">
        <v>272</v>
      </c>
      <c r="D97">
        <v>18</v>
      </c>
      <c r="F97" t="s">
        <v>10</v>
      </c>
      <c r="G97" s="58" t="s">
        <v>273</v>
      </c>
      <c r="H97" s="6">
        <v>0</v>
      </c>
    </row>
    <row r="98" spans="1:8" ht="14.25">
      <c r="A98" s="58" t="s">
        <v>274</v>
      </c>
      <c r="B98">
        <v>19</v>
      </c>
      <c r="C98" s="58" t="s">
        <v>275</v>
      </c>
      <c r="D98">
        <v>19</v>
      </c>
      <c r="F98" t="s">
        <v>10</v>
      </c>
      <c r="G98" s="58" t="s">
        <v>276</v>
      </c>
      <c r="H98" s="6">
        <v>0</v>
      </c>
    </row>
    <row r="99" spans="1:8" ht="14.25">
      <c r="A99" s="58" t="s">
        <v>240</v>
      </c>
      <c r="B99">
        <f>SUM(B86:B98)</f>
        <v>309</v>
      </c>
      <c r="C99" s="58" t="s">
        <v>240</v>
      </c>
      <c r="D99">
        <f>SUM(D86:D98)</f>
        <v>309</v>
      </c>
      <c r="G99">
        <v>220</v>
      </c>
      <c r="H99" s="6">
        <v>220</v>
      </c>
    </row>
    <row r="100" spans="1:8" ht="28.5">
      <c r="A100" s="58" t="s">
        <v>277</v>
      </c>
      <c r="B100">
        <v>39</v>
      </c>
      <c r="C100" s="58" t="s">
        <v>278</v>
      </c>
      <c r="D100">
        <v>39</v>
      </c>
      <c r="F100" t="s">
        <v>14</v>
      </c>
      <c r="G100" s="58" t="s">
        <v>279</v>
      </c>
      <c r="H100" s="6">
        <v>0</v>
      </c>
    </row>
    <row r="101" spans="1:8" ht="14.25">
      <c r="A101" s="58" t="s">
        <v>280</v>
      </c>
      <c r="B101">
        <v>42</v>
      </c>
      <c r="C101" s="58" t="s">
        <v>281</v>
      </c>
      <c r="D101">
        <v>42</v>
      </c>
      <c r="F101" t="s">
        <v>10</v>
      </c>
      <c r="G101" s="58" t="s">
        <v>282</v>
      </c>
      <c r="H101" s="6">
        <v>0</v>
      </c>
    </row>
    <row r="102" spans="1:8" ht="14.25">
      <c r="A102" s="58" t="s">
        <v>283</v>
      </c>
      <c r="B102">
        <v>24</v>
      </c>
      <c r="C102" s="58" t="s">
        <v>284</v>
      </c>
      <c r="D102">
        <v>24</v>
      </c>
      <c r="F102" t="s">
        <v>10</v>
      </c>
      <c r="G102" s="58" t="s">
        <v>285</v>
      </c>
      <c r="H102" s="6">
        <v>0</v>
      </c>
    </row>
    <row r="103" spans="1:8" ht="14.25">
      <c r="A103" s="58" t="s">
        <v>286</v>
      </c>
      <c r="B103">
        <v>23</v>
      </c>
      <c r="C103" s="58" t="s">
        <v>287</v>
      </c>
      <c r="D103">
        <v>23</v>
      </c>
      <c r="F103" t="s">
        <v>10</v>
      </c>
      <c r="G103" s="58" t="s">
        <v>288</v>
      </c>
      <c r="H103" s="6">
        <v>0</v>
      </c>
    </row>
    <row r="104" spans="1:8" ht="14.25">
      <c r="A104" s="58" t="s">
        <v>289</v>
      </c>
      <c r="B104">
        <v>20</v>
      </c>
      <c r="C104" s="58" t="s">
        <v>290</v>
      </c>
      <c r="D104">
        <v>20</v>
      </c>
      <c r="F104" t="s">
        <v>10</v>
      </c>
      <c r="G104" s="58" t="s">
        <v>291</v>
      </c>
      <c r="H104" s="6">
        <v>0</v>
      </c>
    </row>
    <row r="105" spans="1:8" ht="14.25">
      <c r="A105" s="58" t="s">
        <v>292</v>
      </c>
      <c r="B105">
        <v>20</v>
      </c>
      <c r="C105" s="58" t="s">
        <v>293</v>
      </c>
      <c r="D105">
        <v>20</v>
      </c>
      <c r="F105" t="s">
        <v>10</v>
      </c>
      <c r="G105" s="58" t="s">
        <v>294</v>
      </c>
      <c r="H105" s="6">
        <v>0</v>
      </c>
    </row>
    <row r="106" spans="1:8" ht="14.25">
      <c r="A106" s="58" t="s">
        <v>295</v>
      </c>
      <c r="B106">
        <v>19</v>
      </c>
      <c r="C106" s="58" t="s">
        <v>296</v>
      </c>
      <c r="D106">
        <v>19</v>
      </c>
      <c r="F106" t="s">
        <v>10</v>
      </c>
      <c r="G106" s="58" t="s">
        <v>297</v>
      </c>
      <c r="H106" s="6">
        <v>0</v>
      </c>
    </row>
    <row r="107" spans="1:8" ht="14.25">
      <c r="A107" s="58" t="s">
        <v>298</v>
      </c>
      <c r="B107">
        <v>19</v>
      </c>
      <c r="C107" s="58" t="s">
        <v>299</v>
      </c>
      <c r="D107">
        <v>19</v>
      </c>
      <c r="F107" t="s">
        <v>10</v>
      </c>
      <c r="G107" s="58" t="s">
        <v>300</v>
      </c>
      <c r="H107" s="6">
        <v>0</v>
      </c>
    </row>
    <row r="108" spans="1:8" ht="14.25">
      <c r="A108" s="58" t="s">
        <v>301</v>
      </c>
      <c r="B108">
        <v>19</v>
      </c>
      <c r="C108" s="58" t="s">
        <v>302</v>
      </c>
      <c r="D108">
        <v>19</v>
      </c>
      <c r="F108" t="s">
        <v>10</v>
      </c>
      <c r="G108" s="58" t="s">
        <v>303</v>
      </c>
      <c r="H108" s="6">
        <v>0</v>
      </c>
    </row>
    <row r="109" spans="1:8" ht="14.25">
      <c r="A109" s="58" t="s">
        <v>279</v>
      </c>
      <c r="B109">
        <f>SUM(B100:B108)</f>
        <v>225</v>
      </c>
      <c r="C109" s="58" t="s">
        <v>279</v>
      </c>
      <c r="D109">
        <f>SUM(D100:D108)</f>
        <v>225</v>
      </c>
      <c r="G109">
        <v>155</v>
      </c>
      <c r="H109" s="6">
        <v>155</v>
      </c>
    </row>
    <row r="110" spans="1:8">
      <c r="B110">
        <f>SUM(B2:B108)</f>
        <v>5424</v>
      </c>
      <c r="D110">
        <f>SUM(D2:D108)</f>
        <v>5424</v>
      </c>
      <c r="F110">
        <f>SUMIF(F1:F108,"中院",B1:B108)</f>
        <v>495</v>
      </c>
    </row>
    <row r="111" spans="1:8">
      <c r="F111">
        <f>SUMIF(F1:F110,"基层",B1:B110)</f>
        <v>2279</v>
      </c>
    </row>
  </sheetData>
  <autoFilter ref="A1:I111"/>
  <phoneticPr fontId="2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L6" sqref="L6"/>
    </sheetView>
  </sheetViews>
  <sheetFormatPr defaultColWidth="9" defaultRowHeight="13.5"/>
  <cols>
    <col min="1" max="1" width="14.875" customWidth="1"/>
    <col min="2" max="2" width="8.875" customWidth="1"/>
    <col min="3" max="3" width="18.5" customWidth="1"/>
    <col min="4" max="8" width="14.375" customWidth="1"/>
    <col min="9" max="9" width="11.875" hidden="1" customWidth="1"/>
    <col min="10" max="10" width="11.875" customWidth="1"/>
    <col min="11" max="11" width="15.5" customWidth="1"/>
  </cols>
  <sheetData>
    <row r="1" spans="1:11" ht="18.75" customHeight="1"/>
    <row r="2" spans="1:11" s="44" customFormat="1" ht="62.25" customHeight="1">
      <c r="C2" s="45"/>
      <c r="D2" s="46" t="s">
        <v>304</v>
      </c>
      <c r="E2" s="46"/>
      <c r="F2" s="46"/>
      <c r="G2" s="46"/>
      <c r="H2" s="46"/>
      <c r="I2" s="46"/>
      <c r="J2" s="46"/>
      <c r="K2" s="46"/>
    </row>
    <row r="3" spans="1:11" ht="51.75" customHeight="1">
      <c r="A3" s="67" t="s">
        <v>305</v>
      </c>
      <c r="B3" s="67" t="s">
        <v>306</v>
      </c>
      <c r="C3" s="47" t="s">
        <v>307</v>
      </c>
      <c r="D3" s="48" t="s">
        <v>308</v>
      </c>
      <c r="E3" s="48" t="s">
        <v>309</v>
      </c>
      <c r="F3" s="48" t="s">
        <v>310</v>
      </c>
      <c r="G3" s="48" t="s">
        <v>311</v>
      </c>
      <c r="H3" s="48" t="s">
        <v>312</v>
      </c>
      <c r="I3" s="48" t="s">
        <v>313</v>
      </c>
      <c r="J3" s="48" t="s">
        <v>314</v>
      </c>
      <c r="K3" s="48" t="s">
        <v>315</v>
      </c>
    </row>
    <row r="4" spans="1:11" ht="51.75" customHeight="1">
      <c r="A4" s="68"/>
      <c r="B4" s="68"/>
      <c r="C4" s="49" t="s">
        <v>316</v>
      </c>
      <c r="D4" s="50">
        <v>0.19</v>
      </c>
      <c r="E4" s="50">
        <v>7.0000000000000001E-3</v>
      </c>
      <c r="F4" s="50">
        <v>5.0000000000000001E-3</v>
      </c>
      <c r="G4" s="50">
        <v>7.4999999999999997E-2</v>
      </c>
      <c r="H4" s="50">
        <v>5.0000000000000001E-3</v>
      </c>
      <c r="I4" s="50">
        <v>0</v>
      </c>
      <c r="J4" s="50">
        <v>0.1</v>
      </c>
      <c r="K4" s="55" t="s">
        <v>317</v>
      </c>
    </row>
    <row r="5" spans="1:11" ht="51.75" customHeight="1">
      <c r="A5" s="51">
        <v>64549</v>
      </c>
      <c r="B5" s="51">
        <f>ROUND(A5/12,2)</f>
        <v>5379.08</v>
      </c>
      <c r="C5" s="49" t="s">
        <v>318</v>
      </c>
      <c r="D5" s="52">
        <f>ROUND($B$5*0.4,2)</f>
        <v>2151.63</v>
      </c>
      <c r="E5" s="52">
        <f>ROUND($B$5*0.6,2)</f>
        <v>3227.45</v>
      </c>
      <c r="F5" s="52">
        <f>ROUND($B$5*0.6,2)</f>
        <v>3227.45</v>
      </c>
      <c r="G5" s="52">
        <f>ROUND(B5*0.8,2)</f>
        <v>4303.26</v>
      </c>
      <c r="H5" s="52">
        <f>B5</f>
        <v>5379.08</v>
      </c>
      <c r="I5" s="52">
        <v>0</v>
      </c>
      <c r="J5" s="52">
        <f>月工资!D4</f>
        <v>1880</v>
      </c>
      <c r="K5" s="56" t="s">
        <v>317</v>
      </c>
    </row>
    <row r="6" spans="1:11" ht="51.75" customHeight="1">
      <c r="A6" s="53"/>
      <c r="B6" s="53"/>
      <c r="C6" s="54" t="s">
        <v>319</v>
      </c>
      <c r="D6" s="54">
        <f>ROUND(D4*D5,2)</f>
        <v>408.81</v>
      </c>
      <c r="E6" s="54">
        <f t="shared" ref="E6:J6" si="0">ROUND(E4*E5,2)</f>
        <v>22.59</v>
      </c>
      <c r="F6" s="54">
        <f t="shared" si="0"/>
        <v>16.14</v>
      </c>
      <c r="G6" s="54">
        <f t="shared" si="0"/>
        <v>322.74</v>
      </c>
      <c r="H6" s="54">
        <f t="shared" si="0"/>
        <v>26.9</v>
      </c>
      <c r="I6" s="54">
        <f t="shared" si="0"/>
        <v>0</v>
      </c>
      <c r="J6" s="54">
        <f t="shared" si="0"/>
        <v>188</v>
      </c>
      <c r="K6" s="54">
        <f>ROUND(SUM(D6:J6),0)</f>
        <v>985</v>
      </c>
    </row>
    <row r="7" spans="1:11" ht="100.9" customHeight="1">
      <c r="C7" s="66" t="s">
        <v>320</v>
      </c>
      <c r="D7" s="66"/>
      <c r="E7" s="66"/>
      <c r="F7" s="66"/>
      <c r="G7" s="66"/>
      <c r="H7" s="66"/>
      <c r="I7" s="66"/>
      <c r="J7" s="66"/>
      <c r="K7" s="66"/>
    </row>
  </sheetData>
  <mergeCells count="3">
    <mergeCell ref="C7:K7"/>
    <mergeCell ref="A3:A4"/>
    <mergeCell ref="B3:B4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blackAndWhite="1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2"/>
  <sheetViews>
    <sheetView tabSelected="1" zoomScale="85" zoomScaleNormal="85" workbookViewId="0">
      <pane ySplit="3" topLeftCell="A52" activePane="bottomLeft" state="frozen"/>
      <selection pane="bottomLeft" activeCell="H29" sqref="H29"/>
    </sheetView>
  </sheetViews>
  <sheetFormatPr defaultColWidth="9" defaultRowHeight="13.5"/>
  <cols>
    <col min="1" max="1" width="8.875" style="85" customWidth="1"/>
    <col min="2" max="2" width="40.75" style="90" customWidth="1"/>
    <col min="3" max="3" width="39.25" style="85" customWidth="1"/>
    <col min="4" max="16384" width="9" style="85"/>
  </cols>
  <sheetData>
    <row r="1" spans="1:3" ht="31.5" customHeight="1">
      <c r="A1" s="84" t="s">
        <v>469</v>
      </c>
      <c r="B1" s="84"/>
    </row>
    <row r="2" spans="1:3" ht="48" customHeight="1">
      <c r="A2" s="86" t="s">
        <v>466</v>
      </c>
      <c r="B2" s="86"/>
      <c r="C2" s="86"/>
    </row>
    <row r="3" spans="1:3" ht="45" customHeight="1">
      <c r="A3" s="87" t="s">
        <v>321</v>
      </c>
      <c r="B3" s="88" t="s">
        <v>468</v>
      </c>
      <c r="C3" s="87" t="s">
        <v>467</v>
      </c>
    </row>
    <row r="4" spans="1:3" s="89" customFormat="1" ht="26.1" customHeight="1">
      <c r="A4" s="71" t="s">
        <v>322</v>
      </c>
      <c r="B4" s="72"/>
      <c r="C4" s="59">
        <f>C7+C17+C19+C23+C34+C52+C62</f>
        <v>305</v>
      </c>
    </row>
    <row r="5" spans="1:3" s="89" customFormat="1" ht="26.1" customHeight="1">
      <c r="A5" s="60">
        <v>1</v>
      </c>
      <c r="B5" s="61" t="s">
        <v>7</v>
      </c>
      <c r="C5" s="62">
        <v>23</v>
      </c>
    </row>
    <row r="6" spans="1:3" s="89" customFormat="1" ht="26.1" customHeight="1">
      <c r="A6" s="60">
        <v>2</v>
      </c>
      <c r="B6" s="61" t="s">
        <v>11</v>
      </c>
      <c r="C6" s="62">
        <v>3</v>
      </c>
    </row>
    <row r="7" spans="1:3" s="89" customFormat="1" ht="26.1" customHeight="1">
      <c r="A7" s="71" t="s">
        <v>323</v>
      </c>
      <c r="B7" s="72"/>
      <c r="C7" s="59">
        <f t="shared" ref="C7" si="0">SUM(C5:C6)</f>
        <v>26</v>
      </c>
    </row>
    <row r="8" spans="1:3" s="89" customFormat="1" ht="26.1" customHeight="1">
      <c r="A8" s="62">
        <v>3</v>
      </c>
      <c r="B8" s="63" t="s">
        <v>462</v>
      </c>
      <c r="C8" s="62">
        <v>1</v>
      </c>
    </row>
    <row r="9" spans="1:3" s="89" customFormat="1" ht="26.1" customHeight="1">
      <c r="A9" s="62">
        <v>4</v>
      </c>
      <c r="B9" s="64" t="s">
        <v>463</v>
      </c>
      <c r="C9" s="62">
        <v>39</v>
      </c>
    </row>
    <row r="10" spans="1:3" s="89" customFormat="1" ht="26.1" customHeight="1">
      <c r="A10" s="62">
        <v>5</v>
      </c>
      <c r="B10" s="64" t="s">
        <v>464</v>
      </c>
      <c r="C10" s="62">
        <v>6</v>
      </c>
    </row>
    <row r="11" spans="1:3" s="89" customFormat="1" ht="26.1" customHeight="1">
      <c r="A11" s="62">
        <v>6</v>
      </c>
      <c r="B11" s="64" t="s">
        <v>470</v>
      </c>
      <c r="C11" s="62">
        <v>6</v>
      </c>
    </row>
    <row r="12" spans="1:3" s="89" customFormat="1" ht="26.1" customHeight="1">
      <c r="A12" s="62">
        <v>7</v>
      </c>
      <c r="B12" s="64" t="s">
        <v>36</v>
      </c>
      <c r="C12" s="62">
        <v>5</v>
      </c>
    </row>
    <row r="13" spans="1:3" s="89" customFormat="1" ht="26.1" customHeight="1">
      <c r="A13" s="62">
        <v>8</v>
      </c>
      <c r="B13" s="64" t="s">
        <v>39</v>
      </c>
      <c r="C13" s="62">
        <v>8</v>
      </c>
    </row>
    <row r="14" spans="1:3" s="89" customFormat="1" ht="26.1" customHeight="1">
      <c r="A14" s="62">
        <v>9</v>
      </c>
      <c r="B14" s="64" t="s">
        <v>42</v>
      </c>
      <c r="C14" s="62">
        <v>1</v>
      </c>
    </row>
    <row r="15" spans="1:3" s="89" customFormat="1" ht="26.1" customHeight="1">
      <c r="A15" s="62">
        <v>10</v>
      </c>
      <c r="B15" s="64" t="s">
        <v>45</v>
      </c>
      <c r="C15" s="62">
        <v>16</v>
      </c>
    </row>
    <row r="16" spans="1:3" s="89" customFormat="1" ht="26.1" customHeight="1">
      <c r="A16" s="62">
        <v>11</v>
      </c>
      <c r="B16" s="64" t="s">
        <v>324</v>
      </c>
      <c r="C16" s="62">
        <v>6</v>
      </c>
    </row>
    <row r="17" spans="1:3" s="89" customFormat="1" ht="26.1" customHeight="1">
      <c r="A17" s="69" t="s">
        <v>325</v>
      </c>
      <c r="B17" s="70"/>
      <c r="C17" s="65">
        <f>SUM(C8:C16)</f>
        <v>88</v>
      </c>
    </row>
    <row r="18" spans="1:3" s="89" customFormat="1" ht="26.1" customHeight="1">
      <c r="A18" s="62">
        <v>12</v>
      </c>
      <c r="B18" s="64" t="s">
        <v>326</v>
      </c>
      <c r="C18" s="62">
        <v>3</v>
      </c>
    </row>
    <row r="19" spans="1:3" s="89" customFormat="1" ht="26.1" customHeight="1">
      <c r="A19" s="73" t="s">
        <v>327</v>
      </c>
      <c r="B19" s="74"/>
      <c r="C19" s="62">
        <f>SUM(C18:C18)</f>
        <v>3</v>
      </c>
    </row>
    <row r="20" spans="1:3" s="89" customFormat="1" ht="26.1" customHeight="1">
      <c r="A20" s="62">
        <v>13</v>
      </c>
      <c r="B20" s="64" t="s">
        <v>328</v>
      </c>
      <c r="C20" s="62">
        <v>10</v>
      </c>
    </row>
    <row r="21" spans="1:3" s="89" customFormat="1" ht="26.1" customHeight="1">
      <c r="A21" s="62">
        <v>14</v>
      </c>
      <c r="B21" s="64" t="s">
        <v>123</v>
      </c>
      <c r="C21" s="62">
        <v>5</v>
      </c>
    </row>
    <row r="22" spans="1:3" s="89" customFormat="1" ht="26.1" customHeight="1">
      <c r="A22" s="62">
        <v>15</v>
      </c>
      <c r="B22" s="64" t="s">
        <v>126</v>
      </c>
      <c r="C22" s="62">
        <v>13</v>
      </c>
    </row>
    <row r="23" spans="1:3" s="89" customFormat="1" ht="26.1" customHeight="1">
      <c r="A23" s="75" t="s">
        <v>329</v>
      </c>
      <c r="B23" s="75"/>
      <c r="C23" s="62">
        <f>SUM(C20:C22)</f>
        <v>28</v>
      </c>
    </row>
    <row r="24" spans="1:3" s="89" customFormat="1" ht="26.1" customHeight="1">
      <c r="A24" s="62">
        <v>16</v>
      </c>
      <c r="B24" s="64" t="s">
        <v>330</v>
      </c>
      <c r="C24" s="62">
        <v>4</v>
      </c>
    </row>
    <row r="25" spans="1:3" s="89" customFormat="1" ht="26.1" customHeight="1">
      <c r="A25" s="62">
        <v>17</v>
      </c>
      <c r="B25" s="64" t="s">
        <v>331</v>
      </c>
      <c r="C25" s="62">
        <v>10</v>
      </c>
    </row>
    <row r="26" spans="1:3" s="89" customFormat="1" ht="26.1" customHeight="1">
      <c r="A26" s="62">
        <v>18</v>
      </c>
      <c r="B26" s="64" t="s">
        <v>332</v>
      </c>
      <c r="C26" s="62">
        <v>4</v>
      </c>
    </row>
    <row r="27" spans="1:3" s="89" customFormat="1" ht="26.1" customHeight="1">
      <c r="A27" s="62">
        <v>19</v>
      </c>
      <c r="B27" s="64" t="s">
        <v>168</v>
      </c>
      <c r="C27" s="62">
        <v>4</v>
      </c>
    </row>
    <row r="28" spans="1:3" s="89" customFormat="1" ht="26.1" customHeight="1">
      <c r="A28" s="62">
        <v>20</v>
      </c>
      <c r="B28" s="64" t="s">
        <v>171</v>
      </c>
      <c r="C28" s="62">
        <v>5</v>
      </c>
    </row>
    <row r="29" spans="1:3" s="89" customFormat="1" ht="26.1" customHeight="1">
      <c r="A29" s="62">
        <v>21</v>
      </c>
      <c r="B29" s="64" t="s">
        <v>174</v>
      </c>
      <c r="C29" s="62">
        <v>3</v>
      </c>
    </row>
    <row r="30" spans="1:3" s="89" customFormat="1" ht="26.1" customHeight="1">
      <c r="A30" s="62">
        <v>22</v>
      </c>
      <c r="B30" s="64" t="s">
        <v>177</v>
      </c>
      <c r="C30" s="62">
        <v>6</v>
      </c>
    </row>
    <row r="31" spans="1:3" s="89" customFormat="1" ht="26.1" customHeight="1">
      <c r="A31" s="62">
        <v>23</v>
      </c>
      <c r="B31" s="64" t="s">
        <v>180</v>
      </c>
      <c r="C31" s="62">
        <v>5</v>
      </c>
    </row>
    <row r="32" spans="1:3" s="89" customFormat="1" ht="26.1" customHeight="1">
      <c r="A32" s="62">
        <v>24</v>
      </c>
      <c r="B32" s="64" t="s">
        <v>183</v>
      </c>
      <c r="C32" s="62">
        <v>2</v>
      </c>
    </row>
    <row r="33" spans="1:3" s="89" customFormat="1" ht="26.1" customHeight="1">
      <c r="A33" s="62">
        <v>25</v>
      </c>
      <c r="B33" s="64" t="s">
        <v>186</v>
      </c>
      <c r="C33" s="62">
        <v>7</v>
      </c>
    </row>
    <row r="34" spans="1:3" s="89" customFormat="1" ht="26.1" customHeight="1">
      <c r="A34" s="75" t="s">
        <v>333</v>
      </c>
      <c r="B34" s="75"/>
      <c r="C34" s="62">
        <f>SUM(C24:C33)</f>
        <v>50</v>
      </c>
    </row>
    <row r="35" spans="1:3" s="89" customFormat="1" ht="26.1" customHeight="1">
      <c r="A35" s="62">
        <v>26</v>
      </c>
      <c r="B35" s="64" t="s">
        <v>334</v>
      </c>
      <c r="C35" s="62">
        <v>8</v>
      </c>
    </row>
    <row r="36" spans="1:3" s="89" customFormat="1" ht="26.1" customHeight="1">
      <c r="A36" s="62">
        <v>27</v>
      </c>
      <c r="B36" s="64" t="s">
        <v>192</v>
      </c>
      <c r="C36" s="62">
        <v>6</v>
      </c>
    </row>
    <row r="37" spans="1:3" s="89" customFormat="1" ht="26.1" customHeight="1">
      <c r="A37" s="62">
        <v>28</v>
      </c>
      <c r="B37" s="64" t="s">
        <v>195</v>
      </c>
      <c r="C37" s="62">
        <v>3</v>
      </c>
    </row>
    <row r="38" spans="1:3" s="89" customFormat="1" ht="26.1" customHeight="1">
      <c r="A38" s="62">
        <v>29</v>
      </c>
      <c r="B38" s="64" t="s">
        <v>198</v>
      </c>
      <c r="C38" s="62">
        <v>3</v>
      </c>
    </row>
    <row r="39" spans="1:3" s="89" customFormat="1" ht="26.1" customHeight="1">
      <c r="A39" s="62">
        <v>30</v>
      </c>
      <c r="B39" s="64" t="s">
        <v>201</v>
      </c>
      <c r="C39" s="62">
        <v>3</v>
      </c>
    </row>
    <row r="40" spans="1:3" s="89" customFormat="1" ht="26.1" customHeight="1">
      <c r="A40" s="62">
        <v>31</v>
      </c>
      <c r="B40" s="64" t="s">
        <v>204</v>
      </c>
      <c r="C40" s="62">
        <v>3</v>
      </c>
    </row>
    <row r="41" spans="1:3" s="89" customFormat="1" ht="26.1" customHeight="1">
      <c r="A41" s="62">
        <v>32</v>
      </c>
      <c r="B41" s="64" t="s">
        <v>207</v>
      </c>
      <c r="C41" s="62">
        <v>3</v>
      </c>
    </row>
    <row r="42" spans="1:3" s="89" customFormat="1" ht="26.1" customHeight="1">
      <c r="A42" s="62">
        <v>33</v>
      </c>
      <c r="B42" s="64" t="s">
        <v>210</v>
      </c>
      <c r="C42" s="62">
        <v>3</v>
      </c>
    </row>
    <row r="43" spans="1:3" s="89" customFormat="1" ht="26.1" customHeight="1">
      <c r="A43" s="62">
        <v>34</v>
      </c>
      <c r="B43" s="64" t="s">
        <v>213</v>
      </c>
      <c r="C43" s="62">
        <v>3</v>
      </c>
    </row>
    <row r="44" spans="1:3" s="89" customFormat="1" ht="26.1" customHeight="1">
      <c r="A44" s="62">
        <v>35</v>
      </c>
      <c r="B44" s="64" t="s">
        <v>216</v>
      </c>
      <c r="C44" s="62">
        <v>4</v>
      </c>
    </row>
    <row r="45" spans="1:3" s="89" customFormat="1" ht="26.1" customHeight="1">
      <c r="A45" s="62">
        <v>36</v>
      </c>
      <c r="B45" s="64" t="s">
        <v>219</v>
      </c>
      <c r="C45" s="62">
        <v>3</v>
      </c>
    </row>
    <row r="46" spans="1:3" s="89" customFormat="1" ht="26.1" customHeight="1">
      <c r="A46" s="62">
        <v>37</v>
      </c>
      <c r="B46" s="64" t="s">
        <v>222</v>
      </c>
      <c r="C46" s="62">
        <v>4</v>
      </c>
    </row>
    <row r="47" spans="1:3" s="89" customFormat="1" ht="26.1" customHeight="1">
      <c r="A47" s="62">
        <v>38</v>
      </c>
      <c r="B47" s="64" t="s">
        <v>225</v>
      </c>
      <c r="C47" s="62">
        <v>3</v>
      </c>
    </row>
    <row r="48" spans="1:3" s="89" customFormat="1" ht="26.1" customHeight="1">
      <c r="A48" s="62">
        <v>39</v>
      </c>
      <c r="B48" s="64" t="s">
        <v>228</v>
      </c>
      <c r="C48" s="62">
        <v>3</v>
      </c>
    </row>
    <row r="49" spans="1:3" s="89" customFormat="1" ht="26.1" customHeight="1">
      <c r="A49" s="62">
        <v>40</v>
      </c>
      <c r="B49" s="64" t="s">
        <v>231</v>
      </c>
      <c r="C49" s="62">
        <v>3</v>
      </c>
    </row>
    <row r="50" spans="1:3" s="89" customFormat="1" ht="26.1" customHeight="1">
      <c r="A50" s="62">
        <v>41</v>
      </c>
      <c r="B50" s="64" t="s">
        <v>234</v>
      </c>
      <c r="C50" s="62">
        <v>2</v>
      </c>
    </row>
    <row r="51" spans="1:3" s="89" customFormat="1" ht="26.1" customHeight="1">
      <c r="A51" s="62">
        <v>42</v>
      </c>
      <c r="B51" s="64" t="s">
        <v>237</v>
      </c>
      <c r="C51" s="62">
        <v>3</v>
      </c>
    </row>
    <row r="52" spans="1:3" s="89" customFormat="1" ht="26.1" customHeight="1">
      <c r="A52" s="75" t="s">
        <v>335</v>
      </c>
      <c r="B52" s="75"/>
      <c r="C52" s="62">
        <f t="shared" ref="C52" si="1">SUM(C35:C51)</f>
        <v>60</v>
      </c>
    </row>
    <row r="53" spans="1:3" s="89" customFormat="1" ht="26.1" customHeight="1">
      <c r="A53" s="62">
        <v>43</v>
      </c>
      <c r="B53" s="64" t="s">
        <v>336</v>
      </c>
      <c r="C53" s="62">
        <v>8</v>
      </c>
    </row>
    <row r="54" spans="1:3" s="89" customFormat="1" ht="26.1" customHeight="1">
      <c r="A54" s="62">
        <v>44</v>
      </c>
      <c r="B54" s="64" t="s">
        <v>282</v>
      </c>
      <c r="C54" s="62">
        <v>12</v>
      </c>
    </row>
    <row r="55" spans="1:3" s="89" customFormat="1" ht="26.1" customHeight="1">
      <c r="A55" s="62">
        <v>45</v>
      </c>
      <c r="B55" s="64" t="s">
        <v>465</v>
      </c>
      <c r="C55" s="62">
        <v>2</v>
      </c>
    </row>
    <row r="56" spans="1:3" s="89" customFormat="1" ht="26.1" customHeight="1">
      <c r="A56" s="62">
        <v>46</v>
      </c>
      <c r="B56" s="64" t="s">
        <v>288</v>
      </c>
      <c r="C56" s="62">
        <v>6</v>
      </c>
    </row>
    <row r="57" spans="1:3" s="89" customFormat="1" ht="26.1" customHeight="1">
      <c r="A57" s="62">
        <v>47</v>
      </c>
      <c r="B57" s="64" t="s">
        <v>291</v>
      </c>
      <c r="C57" s="62">
        <v>6</v>
      </c>
    </row>
    <row r="58" spans="1:3" s="89" customFormat="1" ht="26.1" customHeight="1">
      <c r="A58" s="62">
        <v>48</v>
      </c>
      <c r="B58" s="64" t="s">
        <v>294</v>
      </c>
      <c r="C58" s="62">
        <v>6</v>
      </c>
    </row>
    <row r="59" spans="1:3" s="89" customFormat="1" ht="26.1" customHeight="1">
      <c r="A59" s="62">
        <v>49</v>
      </c>
      <c r="B59" s="64" t="s">
        <v>297</v>
      </c>
      <c r="C59" s="62">
        <v>3</v>
      </c>
    </row>
    <row r="60" spans="1:3" s="89" customFormat="1" ht="26.1" customHeight="1">
      <c r="A60" s="62">
        <v>50</v>
      </c>
      <c r="B60" s="64" t="s">
        <v>300</v>
      </c>
      <c r="C60" s="62">
        <v>5</v>
      </c>
    </row>
    <row r="61" spans="1:3" s="89" customFormat="1" ht="26.1" customHeight="1">
      <c r="A61" s="62">
        <v>51</v>
      </c>
      <c r="B61" s="64" t="s">
        <v>303</v>
      </c>
      <c r="C61" s="62">
        <v>2</v>
      </c>
    </row>
    <row r="62" spans="1:3" s="89" customFormat="1" ht="26.1" customHeight="1">
      <c r="A62" s="75" t="s">
        <v>337</v>
      </c>
      <c r="B62" s="75"/>
      <c r="C62" s="62">
        <f t="shared" ref="C62" si="2">SUM(C53:C61)</f>
        <v>50</v>
      </c>
    </row>
  </sheetData>
  <autoFilter ref="C3:C62"/>
  <mergeCells count="10">
    <mergeCell ref="A1:B1"/>
    <mergeCell ref="A2:C2"/>
    <mergeCell ref="A62:B62"/>
    <mergeCell ref="A17:B17"/>
    <mergeCell ref="A7:B7"/>
    <mergeCell ref="A19:B19"/>
    <mergeCell ref="A23:B23"/>
    <mergeCell ref="A34:B34"/>
    <mergeCell ref="A4:B4"/>
    <mergeCell ref="A52:B52"/>
  </mergeCells>
  <phoneticPr fontId="26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80"/>
  <sheetViews>
    <sheetView workbookViewId="0">
      <pane xSplit="3" ySplit="3" topLeftCell="D46" activePane="bottomRight" state="frozen"/>
      <selection pane="topRight"/>
      <selection pane="bottomLeft"/>
      <selection pane="bottomRight" activeCell="M2" sqref="M2"/>
    </sheetView>
  </sheetViews>
  <sheetFormatPr defaultColWidth="9" defaultRowHeight="13.5"/>
  <cols>
    <col min="1" max="1" width="3.875" customWidth="1"/>
    <col min="2" max="2" width="8.75" customWidth="1"/>
    <col min="3" max="3" width="6.75" customWidth="1"/>
    <col min="4" max="4" width="7.625" customWidth="1"/>
    <col min="5" max="5" width="8.25" customWidth="1"/>
    <col min="6" max="6" width="10.75" style="22" customWidth="1"/>
    <col min="7" max="7" width="4.25" customWidth="1"/>
    <col min="8" max="8" width="14.25" customWidth="1"/>
    <col min="9" max="9" width="9" customWidth="1"/>
    <col min="10" max="10" width="9.25" customWidth="1"/>
    <col min="11" max="11" width="8.75" customWidth="1"/>
    <col min="12" max="12" width="8.625" customWidth="1"/>
    <col min="13" max="13" width="9.875" customWidth="1"/>
    <col min="14" max="14" width="9.125" customWidth="1"/>
    <col min="15" max="15" width="5.125" customWidth="1"/>
    <col min="16" max="16" width="12.25" customWidth="1"/>
    <col min="17" max="17" width="14.125" customWidth="1"/>
  </cols>
  <sheetData>
    <row r="1" spans="1:17" ht="27.75" customHeight="1">
      <c r="A1" s="23" t="s">
        <v>338</v>
      </c>
      <c r="B1" s="23"/>
      <c r="C1" s="23"/>
      <c r="D1" s="23"/>
      <c r="E1" s="23"/>
      <c r="F1" s="24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27.75" customHeight="1">
      <c r="A2" s="25" t="s">
        <v>321</v>
      </c>
      <c r="B2" s="25" t="s">
        <v>0</v>
      </c>
      <c r="C2" s="25" t="s">
        <v>339</v>
      </c>
      <c r="D2" s="26" t="s">
        <v>340</v>
      </c>
      <c r="E2" s="25" t="s">
        <v>341</v>
      </c>
      <c r="F2" s="27" t="s">
        <v>342</v>
      </c>
      <c r="G2" s="26" t="s">
        <v>343</v>
      </c>
      <c r="H2" s="26" t="s">
        <v>344</v>
      </c>
      <c r="I2" s="26" t="s">
        <v>345</v>
      </c>
      <c r="J2" s="26" t="s">
        <v>346</v>
      </c>
      <c r="K2" s="26" t="s">
        <v>347</v>
      </c>
      <c r="L2" s="26" t="s">
        <v>348</v>
      </c>
      <c r="M2" s="26" t="s">
        <v>349</v>
      </c>
      <c r="N2" s="26" t="s">
        <v>350</v>
      </c>
      <c r="O2" s="26" t="s">
        <v>351</v>
      </c>
      <c r="P2" s="25" t="s">
        <v>322</v>
      </c>
    </row>
    <row r="3" spans="1:17" s="21" customFormat="1" ht="17.25" customHeight="1">
      <c r="A3" s="76" t="s">
        <v>322</v>
      </c>
      <c r="B3" s="77"/>
      <c r="C3" s="28" t="s">
        <v>317</v>
      </c>
      <c r="D3" s="29" t="s">
        <v>317</v>
      </c>
      <c r="E3" s="28" t="s">
        <v>317</v>
      </c>
      <c r="F3" s="29" t="s">
        <v>317</v>
      </c>
      <c r="G3" s="28" t="s">
        <v>317</v>
      </c>
      <c r="H3" s="29" t="s">
        <v>317</v>
      </c>
      <c r="I3" s="38">
        <f t="shared" ref="I3:L3" si="0">SUM(I4:I80)</f>
        <v>149560</v>
      </c>
      <c r="J3" s="38">
        <f t="shared" si="0"/>
        <v>155232</v>
      </c>
      <c r="K3" s="38">
        <f t="shared" si="0"/>
        <v>2520</v>
      </c>
      <c r="L3" s="38">
        <f t="shared" si="0"/>
        <v>460968</v>
      </c>
      <c r="M3" s="39">
        <f>ROUND(ROUNDUP(COUNTIF($H$3:$H$591,"*书记员")*0.2,0)*AVERAGEIFS($L$3:$L$591,$H$3:$H$591,"*书记员")/3,2)</f>
        <v>31928.52</v>
      </c>
      <c r="N3" s="38">
        <f>SUM(N4:N80)</f>
        <v>75845</v>
      </c>
      <c r="O3" s="40" t="s">
        <v>317</v>
      </c>
      <c r="P3" s="38">
        <f>SUM(P4:P80)+M3</f>
        <v>5090780.5199999996</v>
      </c>
    </row>
    <row r="4" spans="1:17" s="21" customFormat="1" ht="14.25">
      <c r="A4" s="30">
        <v>1</v>
      </c>
      <c r="B4" s="31" t="s">
        <v>5</v>
      </c>
      <c r="C4" s="32" t="s">
        <v>352</v>
      </c>
      <c r="D4" s="32" t="s">
        <v>353</v>
      </c>
      <c r="E4" s="32" t="s">
        <v>354</v>
      </c>
      <c r="F4" s="33">
        <v>41699</v>
      </c>
      <c r="G4" s="34">
        <f>DATEDIF(F4,"2018-9-1","Y")</f>
        <v>4</v>
      </c>
      <c r="H4" s="35" t="str">
        <f>VLOOKUP(G4,参数表!$B$3:$C$8,2,1)</f>
        <v>五级聘用制书记员</v>
      </c>
      <c r="I4" s="39">
        <f>VLOOKUP(H4,参数表!$C$3:$D$8,2,0)</f>
        <v>2180</v>
      </c>
      <c r="J4" s="41">
        <f>VLOOKUP(D4,参数表!$G$3:$H$5,2,0)*1.2</f>
        <v>2016</v>
      </c>
      <c r="K4" s="39">
        <f>(2018-YEAR(F4))*20</f>
        <v>80</v>
      </c>
      <c r="L4" s="39">
        <f>(I4+J4+K4)*1.5</f>
        <v>6414</v>
      </c>
      <c r="M4" s="40" t="s">
        <v>317</v>
      </c>
      <c r="N4" s="40">
        <f>五险一金计算!$K$6</f>
        <v>985</v>
      </c>
      <c r="O4" s="40">
        <v>12</v>
      </c>
      <c r="P4" s="39">
        <f>SUM(I4:K4,N4)*O4+L4</f>
        <v>69546</v>
      </c>
      <c r="Q4" s="42"/>
    </row>
    <row r="5" spans="1:17" s="21" customFormat="1" ht="14.25">
      <c r="A5" s="30">
        <v>2</v>
      </c>
      <c r="B5" s="31" t="s">
        <v>5</v>
      </c>
      <c r="C5" s="32" t="s">
        <v>355</v>
      </c>
      <c r="D5" s="32" t="s">
        <v>353</v>
      </c>
      <c r="E5" s="32" t="s">
        <v>354</v>
      </c>
      <c r="F5" s="33">
        <v>42186</v>
      </c>
      <c r="G5" s="34">
        <f t="shared" ref="G5:G68" si="1">DATEDIF(F5,"2018-9-1","Y")</f>
        <v>3</v>
      </c>
      <c r="H5" s="35" t="str">
        <f>VLOOKUP(G5,参数表!$B$3:$C$8,2,1)</f>
        <v>五级聘用制书记员</v>
      </c>
      <c r="I5" s="39">
        <f>VLOOKUP(H5,参数表!$C$3:$D$8,2,0)</f>
        <v>2180</v>
      </c>
      <c r="J5" s="41">
        <f>VLOOKUP(D5,参数表!$G$3:$H$5,2,0)*1.2</f>
        <v>2016</v>
      </c>
      <c r="K5" s="39">
        <f t="shared" ref="K5:K68" si="2">(2018-YEAR(F5))*20</f>
        <v>60</v>
      </c>
      <c r="L5" s="39">
        <f t="shared" ref="L5:L68" si="3">(I5+J5+K5)*1.5</f>
        <v>6384</v>
      </c>
      <c r="M5" s="40" t="s">
        <v>317</v>
      </c>
      <c r="N5" s="40">
        <f>五险一金计算!$K$6</f>
        <v>985</v>
      </c>
      <c r="O5" s="40">
        <v>12</v>
      </c>
      <c r="P5" s="39">
        <f t="shared" ref="P5:P68" si="4">SUM(I5:K5,N5)*O5+L5</f>
        <v>69276</v>
      </c>
    </row>
    <row r="6" spans="1:17" s="21" customFormat="1" ht="14.25">
      <c r="A6" s="30">
        <v>3</v>
      </c>
      <c r="B6" s="31" t="s">
        <v>5</v>
      </c>
      <c r="C6" s="32" t="s">
        <v>356</v>
      </c>
      <c r="D6" s="32" t="s">
        <v>353</v>
      </c>
      <c r="E6" s="32" t="s">
        <v>354</v>
      </c>
      <c r="F6" s="33">
        <v>41944</v>
      </c>
      <c r="G6" s="34">
        <f t="shared" si="1"/>
        <v>3</v>
      </c>
      <c r="H6" s="35" t="str">
        <f>VLOOKUP(G6,参数表!$B$3:$C$8,2,1)</f>
        <v>五级聘用制书记员</v>
      </c>
      <c r="I6" s="39">
        <f>VLOOKUP(H6,参数表!$C$3:$D$8,2,0)</f>
        <v>2180</v>
      </c>
      <c r="J6" s="41">
        <f>VLOOKUP(D6,参数表!$G$3:$H$5,2,0)*1.2</f>
        <v>2016</v>
      </c>
      <c r="K6" s="39">
        <f t="shared" si="2"/>
        <v>80</v>
      </c>
      <c r="L6" s="39">
        <f t="shared" si="3"/>
        <v>6414</v>
      </c>
      <c r="M6" s="40" t="s">
        <v>317</v>
      </c>
      <c r="N6" s="40">
        <f>五险一金计算!$K$6</f>
        <v>985</v>
      </c>
      <c r="O6" s="40">
        <v>12</v>
      </c>
      <c r="P6" s="39">
        <f t="shared" si="4"/>
        <v>69546</v>
      </c>
    </row>
    <row r="7" spans="1:17" s="21" customFormat="1" ht="14.25">
      <c r="A7" s="30">
        <v>4</v>
      </c>
      <c r="B7" s="31" t="s">
        <v>5</v>
      </c>
      <c r="C7" s="32" t="s">
        <v>357</v>
      </c>
      <c r="D7" s="32" t="s">
        <v>353</v>
      </c>
      <c r="E7" s="32" t="s">
        <v>354</v>
      </c>
      <c r="F7" s="33">
        <v>41944</v>
      </c>
      <c r="G7" s="34">
        <f t="shared" si="1"/>
        <v>3</v>
      </c>
      <c r="H7" s="35" t="str">
        <f>VLOOKUP(G7,参数表!$B$3:$C$8,2,1)</f>
        <v>五级聘用制书记员</v>
      </c>
      <c r="I7" s="39">
        <f>VLOOKUP(H7,参数表!$C$3:$D$8,2,0)</f>
        <v>2180</v>
      </c>
      <c r="J7" s="41">
        <f>VLOOKUP(D7,参数表!$G$3:$H$5,2,0)*1.2</f>
        <v>2016</v>
      </c>
      <c r="K7" s="39">
        <f t="shared" si="2"/>
        <v>80</v>
      </c>
      <c r="L7" s="39">
        <f t="shared" si="3"/>
        <v>6414</v>
      </c>
      <c r="M7" s="40" t="s">
        <v>317</v>
      </c>
      <c r="N7" s="40">
        <f>五险一金计算!$K$6</f>
        <v>985</v>
      </c>
      <c r="O7" s="40">
        <v>12</v>
      </c>
      <c r="P7" s="39">
        <f t="shared" si="4"/>
        <v>69546</v>
      </c>
    </row>
    <row r="8" spans="1:17" s="21" customFormat="1" ht="14.25">
      <c r="A8" s="30">
        <v>5</v>
      </c>
      <c r="B8" s="31" t="s">
        <v>5</v>
      </c>
      <c r="C8" s="32" t="s">
        <v>358</v>
      </c>
      <c r="D8" s="32" t="s">
        <v>353</v>
      </c>
      <c r="E8" s="32" t="s">
        <v>354</v>
      </c>
      <c r="F8" s="33">
        <v>42522</v>
      </c>
      <c r="G8" s="34">
        <f t="shared" si="1"/>
        <v>2</v>
      </c>
      <c r="H8" s="35" t="str">
        <f>VLOOKUP(G8,参数表!$B$3:$C$8,2,1)</f>
        <v>六级聘用制书记员</v>
      </c>
      <c r="I8" s="39">
        <f>VLOOKUP(H8,参数表!$C$3:$D$8,2,0)</f>
        <v>1880</v>
      </c>
      <c r="J8" s="41">
        <f>VLOOKUP(D8,参数表!$G$3:$H$5,2,0)*1.2</f>
        <v>2016</v>
      </c>
      <c r="K8" s="39">
        <f t="shared" si="2"/>
        <v>40</v>
      </c>
      <c r="L8" s="39">
        <f t="shared" si="3"/>
        <v>5904</v>
      </c>
      <c r="M8" s="40" t="s">
        <v>317</v>
      </c>
      <c r="N8" s="40">
        <f>五险一金计算!$K$6</f>
        <v>985</v>
      </c>
      <c r="O8" s="40">
        <v>12</v>
      </c>
      <c r="P8" s="39">
        <f t="shared" si="4"/>
        <v>64956</v>
      </c>
    </row>
    <row r="9" spans="1:17" s="21" customFormat="1" ht="14.25">
      <c r="A9" s="30">
        <v>6</v>
      </c>
      <c r="B9" s="31" t="s">
        <v>5</v>
      </c>
      <c r="C9" s="32" t="s">
        <v>359</v>
      </c>
      <c r="D9" s="32" t="s">
        <v>353</v>
      </c>
      <c r="E9" s="32" t="s">
        <v>354</v>
      </c>
      <c r="F9" s="33">
        <v>42522</v>
      </c>
      <c r="G9" s="34">
        <f t="shared" si="1"/>
        <v>2</v>
      </c>
      <c r="H9" s="35" t="str">
        <f>VLOOKUP(G9,参数表!$B$3:$C$8,2,1)</f>
        <v>六级聘用制书记员</v>
      </c>
      <c r="I9" s="39">
        <f>VLOOKUP(H9,参数表!$C$3:$D$8,2,0)</f>
        <v>1880</v>
      </c>
      <c r="J9" s="41">
        <f>VLOOKUP(D9,参数表!$G$3:$H$5,2,0)*1.2</f>
        <v>2016</v>
      </c>
      <c r="K9" s="39">
        <f t="shared" si="2"/>
        <v>40</v>
      </c>
      <c r="L9" s="39">
        <f t="shared" si="3"/>
        <v>5904</v>
      </c>
      <c r="M9" s="40" t="s">
        <v>317</v>
      </c>
      <c r="N9" s="40">
        <f>五险一金计算!$K$6</f>
        <v>985</v>
      </c>
      <c r="O9" s="40">
        <v>12</v>
      </c>
      <c r="P9" s="39">
        <f t="shared" si="4"/>
        <v>64956</v>
      </c>
    </row>
    <row r="10" spans="1:17" s="21" customFormat="1" ht="14.25">
      <c r="A10" s="30">
        <v>7</v>
      </c>
      <c r="B10" s="31" t="s">
        <v>5</v>
      </c>
      <c r="C10" s="32" t="s">
        <v>360</v>
      </c>
      <c r="D10" s="32" t="s">
        <v>353</v>
      </c>
      <c r="E10" s="32" t="s">
        <v>354</v>
      </c>
      <c r="F10" s="33">
        <v>42634</v>
      </c>
      <c r="G10" s="34">
        <f t="shared" si="1"/>
        <v>1</v>
      </c>
      <c r="H10" s="35" t="str">
        <f>VLOOKUP(G10,参数表!$B$3:$C$8,2,1)</f>
        <v>六级聘用制书记员</v>
      </c>
      <c r="I10" s="39">
        <f>VLOOKUP(H10,参数表!$C$3:$D$8,2,0)</f>
        <v>1880</v>
      </c>
      <c r="J10" s="41">
        <f>VLOOKUP(D10,参数表!$G$3:$H$5,2,0)*1.2</f>
        <v>2016</v>
      </c>
      <c r="K10" s="39">
        <f t="shared" si="2"/>
        <v>40</v>
      </c>
      <c r="L10" s="39">
        <f t="shared" si="3"/>
        <v>5904</v>
      </c>
      <c r="M10" s="40" t="s">
        <v>317</v>
      </c>
      <c r="N10" s="40">
        <f>五险一金计算!$K$6</f>
        <v>985</v>
      </c>
      <c r="O10" s="40">
        <v>12</v>
      </c>
      <c r="P10" s="39">
        <f t="shared" si="4"/>
        <v>64956</v>
      </c>
    </row>
    <row r="11" spans="1:17" s="21" customFormat="1" ht="14.25">
      <c r="A11" s="30">
        <v>8</v>
      </c>
      <c r="B11" s="31" t="s">
        <v>5</v>
      </c>
      <c r="C11" s="36" t="s">
        <v>361</v>
      </c>
      <c r="D11" s="32" t="s">
        <v>353</v>
      </c>
      <c r="E11" s="32" t="s">
        <v>354</v>
      </c>
      <c r="F11" s="33">
        <v>42634</v>
      </c>
      <c r="G11" s="34">
        <f t="shared" si="1"/>
        <v>1</v>
      </c>
      <c r="H11" s="35" t="str">
        <f>VLOOKUP(G11,参数表!$B$3:$C$8,2,1)</f>
        <v>六级聘用制书记员</v>
      </c>
      <c r="I11" s="39">
        <f>VLOOKUP(H11,参数表!$C$3:$D$8,2,0)</f>
        <v>1880</v>
      </c>
      <c r="J11" s="41">
        <f>VLOOKUP(D11,参数表!$G$3:$H$5,2,0)*1.2</f>
        <v>2016</v>
      </c>
      <c r="K11" s="39">
        <f t="shared" si="2"/>
        <v>40</v>
      </c>
      <c r="L11" s="39">
        <f t="shared" si="3"/>
        <v>5904</v>
      </c>
      <c r="M11" s="40" t="s">
        <v>317</v>
      </c>
      <c r="N11" s="40">
        <f>五险一金计算!$K$6</f>
        <v>985</v>
      </c>
      <c r="O11" s="40">
        <v>12</v>
      </c>
      <c r="P11" s="39">
        <f t="shared" si="4"/>
        <v>64956</v>
      </c>
    </row>
    <row r="12" spans="1:17" s="21" customFormat="1" ht="14.25">
      <c r="A12" s="30">
        <v>9</v>
      </c>
      <c r="B12" s="31" t="s">
        <v>5</v>
      </c>
      <c r="C12" s="36" t="s">
        <v>362</v>
      </c>
      <c r="D12" s="32" t="s">
        <v>353</v>
      </c>
      <c r="E12" s="32" t="s">
        <v>354</v>
      </c>
      <c r="F12" s="33">
        <v>42186</v>
      </c>
      <c r="G12" s="34">
        <f t="shared" si="1"/>
        <v>3</v>
      </c>
      <c r="H12" s="35" t="str">
        <f>VLOOKUP(G12,参数表!$B$3:$C$8,2,1)</f>
        <v>五级聘用制书记员</v>
      </c>
      <c r="I12" s="39">
        <f>VLOOKUP(H12,参数表!$C$3:$D$8,2,0)</f>
        <v>2180</v>
      </c>
      <c r="J12" s="41">
        <f>VLOOKUP(D12,参数表!$G$3:$H$5,2,0)*1.2</f>
        <v>2016</v>
      </c>
      <c r="K12" s="39">
        <f t="shared" si="2"/>
        <v>60</v>
      </c>
      <c r="L12" s="39">
        <f t="shared" si="3"/>
        <v>6384</v>
      </c>
      <c r="M12" s="40" t="s">
        <v>317</v>
      </c>
      <c r="N12" s="40">
        <f>五险一金计算!$K$6</f>
        <v>985</v>
      </c>
      <c r="O12" s="40">
        <v>12</v>
      </c>
      <c r="P12" s="39">
        <f t="shared" si="4"/>
        <v>69276</v>
      </c>
    </row>
    <row r="13" spans="1:17" s="21" customFormat="1" ht="14.25">
      <c r="A13" s="30">
        <v>10</v>
      </c>
      <c r="B13" s="31" t="s">
        <v>5</v>
      </c>
      <c r="C13" s="36" t="s">
        <v>363</v>
      </c>
      <c r="D13" s="32" t="s">
        <v>353</v>
      </c>
      <c r="E13" s="32" t="s">
        <v>354</v>
      </c>
      <c r="F13" s="33">
        <v>42522</v>
      </c>
      <c r="G13" s="34">
        <f t="shared" si="1"/>
        <v>2</v>
      </c>
      <c r="H13" s="35" t="str">
        <f>VLOOKUP(G13,参数表!$B$3:$C$8,2,1)</f>
        <v>六级聘用制书记员</v>
      </c>
      <c r="I13" s="39">
        <f>VLOOKUP(H13,参数表!$C$3:$D$8,2,0)</f>
        <v>1880</v>
      </c>
      <c r="J13" s="41">
        <f>VLOOKUP(D13,参数表!$G$3:$H$5,2,0)*1.2</f>
        <v>2016</v>
      </c>
      <c r="K13" s="39">
        <f t="shared" si="2"/>
        <v>40</v>
      </c>
      <c r="L13" s="39">
        <f t="shared" si="3"/>
        <v>5904</v>
      </c>
      <c r="M13" s="40" t="s">
        <v>317</v>
      </c>
      <c r="N13" s="40">
        <f>五险一金计算!$K$6</f>
        <v>985</v>
      </c>
      <c r="O13" s="40">
        <v>12</v>
      </c>
      <c r="P13" s="39">
        <f t="shared" si="4"/>
        <v>64956</v>
      </c>
    </row>
    <row r="14" spans="1:17" s="21" customFormat="1" ht="14.25">
      <c r="A14" s="30">
        <v>11</v>
      </c>
      <c r="B14" s="31" t="s">
        <v>5</v>
      </c>
      <c r="C14" s="36" t="s">
        <v>364</v>
      </c>
      <c r="D14" s="32" t="s">
        <v>353</v>
      </c>
      <c r="E14" s="32" t="s">
        <v>354</v>
      </c>
      <c r="F14" s="33">
        <v>42522</v>
      </c>
      <c r="G14" s="34">
        <f t="shared" si="1"/>
        <v>2</v>
      </c>
      <c r="H14" s="35" t="str">
        <f>VLOOKUP(G14,参数表!$B$3:$C$8,2,1)</f>
        <v>六级聘用制书记员</v>
      </c>
      <c r="I14" s="39">
        <f>VLOOKUP(H14,参数表!$C$3:$D$8,2,0)</f>
        <v>1880</v>
      </c>
      <c r="J14" s="41">
        <f>VLOOKUP(D14,参数表!$G$3:$H$5,2,0)*1.2</f>
        <v>2016</v>
      </c>
      <c r="K14" s="39">
        <f t="shared" si="2"/>
        <v>40</v>
      </c>
      <c r="L14" s="39">
        <f t="shared" si="3"/>
        <v>5904</v>
      </c>
      <c r="M14" s="40" t="s">
        <v>317</v>
      </c>
      <c r="N14" s="40">
        <f>五险一金计算!$K$6</f>
        <v>985</v>
      </c>
      <c r="O14" s="40">
        <v>12</v>
      </c>
      <c r="P14" s="39">
        <f t="shared" si="4"/>
        <v>64956</v>
      </c>
    </row>
    <row r="15" spans="1:17" s="21" customFormat="1" ht="14.25">
      <c r="A15" s="30">
        <v>12</v>
      </c>
      <c r="B15" s="31" t="s">
        <v>5</v>
      </c>
      <c r="C15" s="36" t="s">
        <v>365</v>
      </c>
      <c r="D15" s="32" t="s">
        <v>353</v>
      </c>
      <c r="E15" s="32" t="s">
        <v>354</v>
      </c>
      <c r="F15" s="33">
        <v>41579</v>
      </c>
      <c r="G15" s="34">
        <f t="shared" si="1"/>
        <v>4</v>
      </c>
      <c r="H15" s="35" t="str">
        <f>VLOOKUP(G15,参数表!$B$3:$C$8,2,1)</f>
        <v>五级聘用制书记员</v>
      </c>
      <c r="I15" s="39">
        <f>VLOOKUP(H15,参数表!$C$3:$D$8,2,0)</f>
        <v>2180</v>
      </c>
      <c r="J15" s="41">
        <f>VLOOKUP(D15,参数表!$G$3:$H$5,2,0)*1.2</f>
        <v>2016</v>
      </c>
      <c r="K15" s="39">
        <f t="shared" si="2"/>
        <v>100</v>
      </c>
      <c r="L15" s="39">
        <f t="shared" si="3"/>
        <v>6444</v>
      </c>
      <c r="M15" s="40" t="s">
        <v>317</v>
      </c>
      <c r="N15" s="40">
        <f>五险一金计算!$K$6</f>
        <v>985</v>
      </c>
      <c r="O15" s="40">
        <v>12</v>
      </c>
      <c r="P15" s="39">
        <f t="shared" si="4"/>
        <v>69816</v>
      </c>
    </row>
    <row r="16" spans="1:17" s="21" customFormat="1" ht="14.25">
      <c r="A16" s="30">
        <v>13</v>
      </c>
      <c r="B16" s="31" t="s">
        <v>5</v>
      </c>
      <c r="C16" s="36" t="s">
        <v>366</v>
      </c>
      <c r="D16" s="32" t="s">
        <v>353</v>
      </c>
      <c r="E16" s="32" t="s">
        <v>354</v>
      </c>
      <c r="F16" s="33">
        <v>42522</v>
      </c>
      <c r="G16" s="34">
        <f t="shared" si="1"/>
        <v>2</v>
      </c>
      <c r="H16" s="35" t="str">
        <f>VLOOKUP(G16,参数表!$B$3:$C$8,2,1)</f>
        <v>六级聘用制书记员</v>
      </c>
      <c r="I16" s="39">
        <f>VLOOKUP(H16,参数表!$C$3:$D$8,2,0)</f>
        <v>1880</v>
      </c>
      <c r="J16" s="41">
        <f>VLOOKUP(D16,参数表!$G$3:$H$5,2,0)*1.2</f>
        <v>2016</v>
      </c>
      <c r="K16" s="39">
        <f t="shared" si="2"/>
        <v>40</v>
      </c>
      <c r="L16" s="39">
        <f t="shared" si="3"/>
        <v>5904</v>
      </c>
      <c r="M16" s="40" t="s">
        <v>317</v>
      </c>
      <c r="N16" s="40">
        <f>五险一金计算!$K$6</f>
        <v>985</v>
      </c>
      <c r="O16" s="40">
        <v>12</v>
      </c>
      <c r="P16" s="39">
        <f t="shared" si="4"/>
        <v>64956</v>
      </c>
    </row>
    <row r="17" spans="1:16" s="21" customFormat="1" ht="14.25">
      <c r="A17" s="30">
        <v>14</v>
      </c>
      <c r="B17" s="31" t="s">
        <v>5</v>
      </c>
      <c r="C17" s="36" t="s">
        <v>367</v>
      </c>
      <c r="D17" s="32" t="s">
        <v>353</v>
      </c>
      <c r="E17" s="32" t="s">
        <v>354</v>
      </c>
      <c r="F17" s="33">
        <v>42522</v>
      </c>
      <c r="G17" s="34">
        <f t="shared" si="1"/>
        <v>2</v>
      </c>
      <c r="H17" s="35" t="str">
        <f>VLOOKUP(G17,参数表!$B$3:$C$8,2,1)</f>
        <v>六级聘用制书记员</v>
      </c>
      <c r="I17" s="39">
        <f>VLOOKUP(H17,参数表!$C$3:$D$8,2,0)</f>
        <v>1880</v>
      </c>
      <c r="J17" s="41">
        <f>VLOOKUP(D17,参数表!$G$3:$H$5,2,0)*1.2</f>
        <v>2016</v>
      </c>
      <c r="K17" s="39">
        <f t="shared" si="2"/>
        <v>40</v>
      </c>
      <c r="L17" s="39">
        <f t="shared" si="3"/>
        <v>5904</v>
      </c>
      <c r="M17" s="40" t="s">
        <v>317</v>
      </c>
      <c r="N17" s="40">
        <f>五险一金计算!$K$6</f>
        <v>985</v>
      </c>
      <c r="O17" s="40">
        <v>12</v>
      </c>
      <c r="P17" s="39">
        <f t="shared" si="4"/>
        <v>64956</v>
      </c>
    </row>
    <row r="18" spans="1:16" s="21" customFormat="1" ht="14.25">
      <c r="A18" s="30">
        <v>15</v>
      </c>
      <c r="B18" s="31" t="s">
        <v>5</v>
      </c>
      <c r="C18" s="36" t="s">
        <v>368</v>
      </c>
      <c r="D18" s="32" t="s">
        <v>353</v>
      </c>
      <c r="E18" s="32" t="s">
        <v>354</v>
      </c>
      <c r="F18" s="33">
        <v>41944</v>
      </c>
      <c r="G18" s="34">
        <f t="shared" si="1"/>
        <v>3</v>
      </c>
      <c r="H18" s="35" t="str">
        <f>VLOOKUP(G18,参数表!$B$3:$C$8,2,1)</f>
        <v>五级聘用制书记员</v>
      </c>
      <c r="I18" s="39">
        <f>VLOOKUP(H18,参数表!$C$3:$D$8,2,0)</f>
        <v>2180</v>
      </c>
      <c r="J18" s="41">
        <f>VLOOKUP(D18,参数表!$G$3:$H$5,2,0)*1.2</f>
        <v>2016</v>
      </c>
      <c r="K18" s="39">
        <f t="shared" si="2"/>
        <v>80</v>
      </c>
      <c r="L18" s="39">
        <f t="shared" si="3"/>
        <v>6414</v>
      </c>
      <c r="M18" s="40" t="s">
        <v>317</v>
      </c>
      <c r="N18" s="40">
        <f>五险一金计算!$K$6</f>
        <v>985</v>
      </c>
      <c r="O18" s="40">
        <v>12</v>
      </c>
      <c r="P18" s="39">
        <f t="shared" si="4"/>
        <v>69546</v>
      </c>
    </row>
    <row r="19" spans="1:16" s="21" customFormat="1" ht="14.25">
      <c r="A19" s="30">
        <v>16</v>
      </c>
      <c r="B19" s="31" t="s">
        <v>5</v>
      </c>
      <c r="C19" s="36" t="s">
        <v>369</v>
      </c>
      <c r="D19" s="32" t="s">
        <v>353</v>
      </c>
      <c r="E19" s="32" t="s">
        <v>354</v>
      </c>
      <c r="F19" s="33">
        <v>42522</v>
      </c>
      <c r="G19" s="34">
        <f t="shared" si="1"/>
        <v>2</v>
      </c>
      <c r="H19" s="35" t="str">
        <f>VLOOKUP(G19,参数表!$B$3:$C$8,2,1)</f>
        <v>六级聘用制书记员</v>
      </c>
      <c r="I19" s="39">
        <f>VLOOKUP(H19,参数表!$C$3:$D$8,2,0)</f>
        <v>1880</v>
      </c>
      <c r="J19" s="41">
        <f>VLOOKUP(D19,参数表!$G$3:$H$5,2,0)*1.2</f>
        <v>2016</v>
      </c>
      <c r="K19" s="39">
        <f t="shared" si="2"/>
        <v>40</v>
      </c>
      <c r="L19" s="39">
        <f t="shared" si="3"/>
        <v>5904</v>
      </c>
      <c r="M19" s="40" t="s">
        <v>317</v>
      </c>
      <c r="N19" s="40">
        <f>五险一金计算!$K$6</f>
        <v>985</v>
      </c>
      <c r="O19" s="40">
        <v>12</v>
      </c>
      <c r="P19" s="39">
        <f t="shared" si="4"/>
        <v>64956</v>
      </c>
    </row>
    <row r="20" spans="1:16" s="21" customFormat="1" ht="14.25">
      <c r="A20" s="30">
        <v>17</v>
      </c>
      <c r="B20" s="31" t="s">
        <v>5</v>
      </c>
      <c r="C20" s="36" t="s">
        <v>370</v>
      </c>
      <c r="D20" s="32" t="s">
        <v>353</v>
      </c>
      <c r="E20" s="32" t="s">
        <v>354</v>
      </c>
      <c r="F20" s="33">
        <v>41699</v>
      </c>
      <c r="G20" s="34">
        <f t="shared" si="1"/>
        <v>4</v>
      </c>
      <c r="H20" s="35" t="str">
        <f>VLOOKUP(G20,参数表!$B$3:$C$8,2,1)</f>
        <v>五级聘用制书记员</v>
      </c>
      <c r="I20" s="39">
        <f>VLOOKUP(H20,参数表!$C$3:$D$8,2,0)</f>
        <v>2180</v>
      </c>
      <c r="J20" s="41">
        <f>VLOOKUP(D20,参数表!$G$3:$H$5,2,0)*1.2</f>
        <v>2016</v>
      </c>
      <c r="K20" s="39">
        <f t="shared" si="2"/>
        <v>80</v>
      </c>
      <c r="L20" s="39">
        <f t="shared" si="3"/>
        <v>6414</v>
      </c>
      <c r="M20" s="40" t="s">
        <v>317</v>
      </c>
      <c r="N20" s="40">
        <f>五险一金计算!$K$6</f>
        <v>985</v>
      </c>
      <c r="O20" s="40">
        <v>12</v>
      </c>
      <c r="P20" s="39">
        <f t="shared" si="4"/>
        <v>69546</v>
      </c>
    </row>
    <row r="21" spans="1:16" s="21" customFormat="1" ht="14.25">
      <c r="A21" s="30">
        <v>18</v>
      </c>
      <c r="B21" s="31" t="s">
        <v>5</v>
      </c>
      <c r="C21" s="36" t="s">
        <v>371</v>
      </c>
      <c r="D21" s="32" t="s">
        <v>353</v>
      </c>
      <c r="E21" s="32" t="s">
        <v>354</v>
      </c>
      <c r="F21" s="33">
        <v>41699</v>
      </c>
      <c r="G21" s="34">
        <f t="shared" si="1"/>
        <v>4</v>
      </c>
      <c r="H21" s="35" t="str">
        <f>VLOOKUP(G21,参数表!$B$3:$C$8,2,1)</f>
        <v>五级聘用制书记员</v>
      </c>
      <c r="I21" s="39">
        <f>VLOOKUP(H21,参数表!$C$3:$D$8,2,0)</f>
        <v>2180</v>
      </c>
      <c r="J21" s="41">
        <f>VLOOKUP(D21,参数表!$G$3:$H$5,2,0)*1.2</f>
        <v>2016</v>
      </c>
      <c r="K21" s="39">
        <f t="shared" si="2"/>
        <v>80</v>
      </c>
      <c r="L21" s="39">
        <f t="shared" si="3"/>
        <v>6414</v>
      </c>
      <c r="M21" s="40" t="s">
        <v>317</v>
      </c>
      <c r="N21" s="40">
        <f>五险一金计算!$K$6</f>
        <v>985</v>
      </c>
      <c r="O21" s="40">
        <v>12</v>
      </c>
      <c r="P21" s="39">
        <f t="shared" si="4"/>
        <v>69546</v>
      </c>
    </row>
    <row r="22" spans="1:16" s="21" customFormat="1" ht="14.25">
      <c r="A22" s="30">
        <v>19</v>
      </c>
      <c r="B22" s="31" t="s">
        <v>5</v>
      </c>
      <c r="C22" s="36" t="s">
        <v>372</v>
      </c>
      <c r="D22" s="32" t="s">
        <v>353</v>
      </c>
      <c r="E22" s="32" t="s">
        <v>354</v>
      </c>
      <c r="F22" s="33">
        <v>42522</v>
      </c>
      <c r="G22" s="34">
        <f t="shared" si="1"/>
        <v>2</v>
      </c>
      <c r="H22" s="35" t="str">
        <f>VLOOKUP(G22,参数表!$B$3:$C$8,2,1)</f>
        <v>六级聘用制书记员</v>
      </c>
      <c r="I22" s="39">
        <f>VLOOKUP(H22,参数表!$C$3:$D$8,2,0)</f>
        <v>1880</v>
      </c>
      <c r="J22" s="41">
        <f>VLOOKUP(D22,参数表!$G$3:$H$5,2,0)*1.2</f>
        <v>2016</v>
      </c>
      <c r="K22" s="39">
        <f t="shared" si="2"/>
        <v>40</v>
      </c>
      <c r="L22" s="39">
        <f t="shared" si="3"/>
        <v>5904</v>
      </c>
      <c r="M22" s="40" t="s">
        <v>317</v>
      </c>
      <c r="N22" s="40">
        <f>五险一金计算!$K$6</f>
        <v>985</v>
      </c>
      <c r="O22" s="40">
        <v>12</v>
      </c>
      <c r="P22" s="39">
        <f t="shared" si="4"/>
        <v>64956</v>
      </c>
    </row>
    <row r="23" spans="1:16" s="21" customFormat="1" ht="14.25">
      <c r="A23" s="30">
        <v>20</v>
      </c>
      <c r="B23" s="31" t="s">
        <v>5</v>
      </c>
      <c r="C23" s="36" t="s">
        <v>373</v>
      </c>
      <c r="D23" s="32" t="s">
        <v>353</v>
      </c>
      <c r="E23" s="32" t="s">
        <v>354</v>
      </c>
      <c r="F23" s="33">
        <v>42522</v>
      </c>
      <c r="G23" s="34">
        <f t="shared" si="1"/>
        <v>2</v>
      </c>
      <c r="H23" s="35" t="str">
        <f>VLOOKUP(G23,参数表!$B$3:$C$8,2,1)</f>
        <v>六级聘用制书记员</v>
      </c>
      <c r="I23" s="39">
        <f>VLOOKUP(H23,参数表!$C$3:$D$8,2,0)</f>
        <v>1880</v>
      </c>
      <c r="J23" s="41">
        <f>VLOOKUP(D23,参数表!$G$3:$H$5,2,0)*1.2</f>
        <v>2016</v>
      </c>
      <c r="K23" s="39">
        <f t="shared" si="2"/>
        <v>40</v>
      </c>
      <c r="L23" s="39">
        <f t="shared" si="3"/>
        <v>5904</v>
      </c>
      <c r="M23" s="40" t="s">
        <v>317</v>
      </c>
      <c r="N23" s="40">
        <f>五险一金计算!$K$6</f>
        <v>985</v>
      </c>
      <c r="O23" s="40">
        <v>12</v>
      </c>
      <c r="P23" s="39">
        <f t="shared" si="4"/>
        <v>64956</v>
      </c>
    </row>
    <row r="24" spans="1:16" s="21" customFormat="1" ht="14.25">
      <c r="A24" s="30">
        <v>21</v>
      </c>
      <c r="B24" s="31" t="s">
        <v>5</v>
      </c>
      <c r="C24" s="36" t="s">
        <v>374</v>
      </c>
      <c r="D24" s="32" t="s">
        <v>353</v>
      </c>
      <c r="E24" s="32" t="s">
        <v>354</v>
      </c>
      <c r="F24" s="33">
        <v>42522</v>
      </c>
      <c r="G24" s="34">
        <f t="shared" si="1"/>
        <v>2</v>
      </c>
      <c r="H24" s="35" t="str">
        <f>VLOOKUP(G24,参数表!$B$3:$C$8,2,1)</f>
        <v>六级聘用制书记员</v>
      </c>
      <c r="I24" s="39">
        <f>VLOOKUP(H24,参数表!$C$3:$D$8,2,0)</f>
        <v>1880</v>
      </c>
      <c r="J24" s="41">
        <f>VLOOKUP(D24,参数表!$G$3:$H$5,2,0)*1.2</f>
        <v>2016</v>
      </c>
      <c r="K24" s="39">
        <f t="shared" si="2"/>
        <v>40</v>
      </c>
      <c r="L24" s="39">
        <f t="shared" si="3"/>
        <v>5904</v>
      </c>
      <c r="M24" s="40" t="s">
        <v>317</v>
      </c>
      <c r="N24" s="40">
        <f>五险一金计算!$K$6</f>
        <v>985</v>
      </c>
      <c r="O24" s="40">
        <v>12</v>
      </c>
      <c r="P24" s="39">
        <f t="shared" si="4"/>
        <v>64956</v>
      </c>
    </row>
    <row r="25" spans="1:16" s="21" customFormat="1" ht="14.25">
      <c r="A25" s="30">
        <v>22</v>
      </c>
      <c r="B25" s="31" t="s">
        <v>5</v>
      </c>
      <c r="C25" s="36" t="s">
        <v>375</v>
      </c>
      <c r="D25" s="32" t="s">
        <v>353</v>
      </c>
      <c r="E25" s="32" t="s">
        <v>354</v>
      </c>
      <c r="F25" s="33">
        <v>42634</v>
      </c>
      <c r="G25" s="34">
        <f t="shared" si="1"/>
        <v>1</v>
      </c>
      <c r="H25" s="35" t="str">
        <f>VLOOKUP(G25,参数表!$B$3:$C$8,2,1)</f>
        <v>六级聘用制书记员</v>
      </c>
      <c r="I25" s="39">
        <f>VLOOKUP(H25,参数表!$C$3:$D$8,2,0)</f>
        <v>1880</v>
      </c>
      <c r="J25" s="41">
        <f>VLOOKUP(D25,参数表!$G$3:$H$5,2,0)*1.2</f>
        <v>2016</v>
      </c>
      <c r="K25" s="39">
        <f t="shared" si="2"/>
        <v>40</v>
      </c>
      <c r="L25" s="39">
        <f t="shared" si="3"/>
        <v>5904</v>
      </c>
      <c r="M25" s="40" t="s">
        <v>317</v>
      </c>
      <c r="N25" s="40">
        <f>五险一金计算!$K$6</f>
        <v>985</v>
      </c>
      <c r="O25" s="40">
        <v>12</v>
      </c>
      <c r="P25" s="39">
        <f t="shared" si="4"/>
        <v>64956</v>
      </c>
    </row>
    <row r="26" spans="1:16" s="21" customFormat="1" ht="14.25">
      <c r="A26" s="30">
        <v>23</v>
      </c>
      <c r="B26" s="31" t="s">
        <v>5</v>
      </c>
      <c r="C26" s="36" t="s">
        <v>376</v>
      </c>
      <c r="D26" s="32" t="s">
        <v>353</v>
      </c>
      <c r="E26" s="32" t="s">
        <v>354</v>
      </c>
      <c r="F26" s="33">
        <v>42651</v>
      </c>
      <c r="G26" s="34">
        <f t="shared" si="1"/>
        <v>1</v>
      </c>
      <c r="H26" s="35" t="str">
        <f>VLOOKUP(G26,参数表!$B$3:$C$8,2,1)</f>
        <v>六级聘用制书记员</v>
      </c>
      <c r="I26" s="39">
        <f>VLOOKUP(H26,参数表!$C$3:$D$8,2,0)</f>
        <v>1880</v>
      </c>
      <c r="J26" s="41">
        <f>VLOOKUP(D26,参数表!$G$3:$H$5,2,0)*1.2</f>
        <v>2016</v>
      </c>
      <c r="K26" s="39">
        <f t="shared" si="2"/>
        <v>40</v>
      </c>
      <c r="L26" s="39">
        <f t="shared" si="3"/>
        <v>5904</v>
      </c>
      <c r="M26" s="40" t="s">
        <v>317</v>
      </c>
      <c r="N26" s="40">
        <f>五险一金计算!$K$6</f>
        <v>985</v>
      </c>
      <c r="O26" s="40">
        <v>12</v>
      </c>
      <c r="P26" s="39">
        <f t="shared" si="4"/>
        <v>64956</v>
      </c>
    </row>
    <row r="27" spans="1:16" s="21" customFormat="1" ht="14.25">
      <c r="A27" s="30">
        <v>24</v>
      </c>
      <c r="B27" s="31" t="s">
        <v>5</v>
      </c>
      <c r="C27" s="36" t="s">
        <v>377</v>
      </c>
      <c r="D27" s="32" t="s">
        <v>353</v>
      </c>
      <c r="E27" s="32" t="s">
        <v>354</v>
      </c>
      <c r="F27" s="33">
        <v>41699</v>
      </c>
      <c r="G27" s="34">
        <f t="shared" si="1"/>
        <v>4</v>
      </c>
      <c r="H27" s="35" t="str">
        <f>VLOOKUP(G27,参数表!$B$3:$C$8,2,1)</f>
        <v>五级聘用制书记员</v>
      </c>
      <c r="I27" s="39">
        <f>VLOOKUP(H27,参数表!$C$3:$D$8,2,0)</f>
        <v>2180</v>
      </c>
      <c r="J27" s="41">
        <f>VLOOKUP(D27,参数表!$G$3:$H$5,2,0)*1.2</f>
        <v>2016</v>
      </c>
      <c r="K27" s="39">
        <f t="shared" si="2"/>
        <v>80</v>
      </c>
      <c r="L27" s="39">
        <f t="shared" si="3"/>
        <v>6414</v>
      </c>
      <c r="M27" s="40" t="s">
        <v>317</v>
      </c>
      <c r="N27" s="40">
        <f>五险一金计算!$K$6</f>
        <v>985</v>
      </c>
      <c r="O27" s="40">
        <v>12</v>
      </c>
      <c r="P27" s="39">
        <f t="shared" si="4"/>
        <v>69546</v>
      </c>
    </row>
    <row r="28" spans="1:16" s="21" customFormat="1" ht="14.25">
      <c r="A28" s="30">
        <v>25</v>
      </c>
      <c r="B28" s="31" t="s">
        <v>5</v>
      </c>
      <c r="C28" s="36" t="s">
        <v>378</v>
      </c>
      <c r="D28" s="32" t="s">
        <v>353</v>
      </c>
      <c r="E28" s="32" t="s">
        <v>354</v>
      </c>
      <c r="F28" s="33">
        <v>41699</v>
      </c>
      <c r="G28" s="34">
        <f t="shared" si="1"/>
        <v>4</v>
      </c>
      <c r="H28" s="35" t="str">
        <f>VLOOKUP(G28,参数表!$B$3:$C$8,2,1)</f>
        <v>五级聘用制书记员</v>
      </c>
      <c r="I28" s="39">
        <f>VLOOKUP(H28,参数表!$C$3:$D$8,2,0)</f>
        <v>2180</v>
      </c>
      <c r="J28" s="41">
        <f>VLOOKUP(D28,参数表!$G$3:$H$5,2,0)*1.2</f>
        <v>2016</v>
      </c>
      <c r="K28" s="39">
        <f t="shared" si="2"/>
        <v>80</v>
      </c>
      <c r="L28" s="39">
        <f t="shared" si="3"/>
        <v>6414</v>
      </c>
      <c r="M28" s="40" t="s">
        <v>317</v>
      </c>
      <c r="N28" s="40">
        <f>五险一金计算!$K$6</f>
        <v>985</v>
      </c>
      <c r="O28" s="40">
        <v>12</v>
      </c>
      <c r="P28" s="39">
        <f t="shared" si="4"/>
        <v>69546</v>
      </c>
    </row>
    <row r="29" spans="1:16" s="21" customFormat="1" ht="14.25">
      <c r="A29" s="30">
        <v>26</v>
      </c>
      <c r="B29" s="31" t="s">
        <v>5</v>
      </c>
      <c r="C29" s="36" t="s">
        <v>379</v>
      </c>
      <c r="D29" s="32" t="s">
        <v>353</v>
      </c>
      <c r="E29" s="32" t="s">
        <v>354</v>
      </c>
      <c r="F29" s="33">
        <v>42186</v>
      </c>
      <c r="G29" s="34">
        <f t="shared" si="1"/>
        <v>3</v>
      </c>
      <c r="H29" s="35" t="str">
        <f>VLOOKUP(G29,参数表!$B$3:$C$8,2,1)</f>
        <v>五级聘用制书记员</v>
      </c>
      <c r="I29" s="39">
        <f>VLOOKUP(H29,参数表!$C$3:$D$8,2,0)</f>
        <v>2180</v>
      </c>
      <c r="J29" s="41">
        <f>VLOOKUP(D29,参数表!$G$3:$H$5,2,0)*1.2</f>
        <v>2016</v>
      </c>
      <c r="K29" s="39">
        <f t="shared" si="2"/>
        <v>60</v>
      </c>
      <c r="L29" s="39">
        <f t="shared" si="3"/>
        <v>6384</v>
      </c>
      <c r="M29" s="40" t="s">
        <v>317</v>
      </c>
      <c r="N29" s="40">
        <f>五险一金计算!$K$6</f>
        <v>985</v>
      </c>
      <c r="O29" s="40">
        <v>12</v>
      </c>
      <c r="P29" s="39">
        <f t="shared" si="4"/>
        <v>69276</v>
      </c>
    </row>
    <row r="30" spans="1:16" s="21" customFormat="1" ht="14.25">
      <c r="A30" s="30">
        <v>27</v>
      </c>
      <c r="B30" s="31" t="s">
        <v>5</v>
      </c>
      <c r="C30" s="36" t="s">
        <v>380</v>
      </c>
      <c r="D30" s="32" t="s">
        <v>353</v>
      </c>
      <c r="E30" s="32" t="s">
        <v>354</v>
      </c>
      <c r="F30" s="33">
        <v>42522</v>
      </c>
      <c r="G30" s="34">
        <f t="shared" si="1"/>
        <v>2</v>
      </c>
      <c r="H30" s="35" t="str">
        <f>VLOOKUP(G30,参数表!$B$3:$C$8,2,1)</f>
        <v>六级聘用制书记员</v>
      </c>
      <c r="I30" s="39">
        <f>VLOOKUP(H30,参数表!$C$3:$D$8,2,0)</f>
        <v>1880</v>
      </c>
      <c r="J30" s="41">
        <f>VLOOKUP(D30,参数表!$G$3:$H$5,2,0)*1.2</f>
        <v>2016</v>
      </c>
      <c r="K30" s="39">
        <f t="shared" si="2"/>
        <v>40</v>
      </c>
      <c r="L30" s="39">
        <f t="shared" si="3"/>
        <v>5904</v>
      </c>
      <c r="M30" s="40" t="s">
        <v>317</v>
      </c>
      <c r="N30" s="40">
        <f>五险一金计算!$K$6</f>
        <v>985</v>
      </c>
      <c r="O30" s="40">
        <v>12</v>
      </c>
      <c r="P30" s="39">
        <f t="shared" si="4"/>
        <v>64956</v>
      </c>
    </row>
    <row r="31" spans="1:16" s="21" customFormat="1" ht="14.25">
      <c r="A31" s="30">
        <v>28</v>
      </c>
      <c r="B31" s="31" t="s">
        <v>5</v>
      </c>
      <c r="C31" s="36" t="s">
        <v>381</v>
      </c>
      <c r="D31" s="32" t="s">
        <v>353</v>
      </c>
      <c r="E31" s="32" t="s">
        <v>354</v>
      </c>
      <c r="F31" s="33">
        <v>42522</v>
      </c>
      <c r="G31" s="34">
        <f t="shared" si="1"/>
        <v>2</v>
      </c>
      <c r="H31" s="35" t="str">
        <f>VLOOKUP(G31,参数表!$B$3:$C$8,2,1)</f>
        <v>六级聘用制书记员</v>
      </c>
      <c r="I31" s="39">
        <f>VLOOKUP(H31,参数表!$C$3:$D$8,2,0)</f>
        <v>1880</v>
      </c>
      <c r="J31" s="41">
        <f>VLOOKUP(D31,参数表!$G$3:$H$5,2,0)*1.2</f>
        <v>2016</v>
      </c>
      <c r="K31" s="39">
        <f t="shared" si="2"/>
        <v>40</v>
      </c>
      <c r="L31" s="39">
        <f t="shared" si="3"/>
        <v>5904</v>
      </c>
      <c r="M31" s="40" t="s">
        <v>317</v>
      </c>
      <c r="N31" s="40">
        <f>五险一金计算!$K$6</f>
        <v>985</v>
      </c>
      <c r="O31" s="40">
        <v>12</v>
      </c>
      <c r="P31" s="39">
        <f t="shared" si="4"/>
        <v>64956</v>
      </c>
    </row>
    <row r="32" spans="1:16" s="21" customFormat="1" ht="14.25">
      <c r="A32" s="30">
        <v>29</v>
      </c>
      <c r="B32" s="31" t="s">
        <v>5</v>
      </c>
      <c r="C32" s="36" t="s">
        <v>382</v>
      </c>
      <c r="D32" s="32" t="s">
        <v>353</v>
      </c>
      <c r="E32" s="32" t="s">
        <v>354</v>
      </c>
      <c r="F32" s="33">
        <v>41699</v>
      </c>
      <c r="G32" s="34">
        <f t="shared" si="1"/>
        <v>4</v>
      </c>
      <c r="H32" s="35" t="str">
        <f>VLOOKUP(G32,参数表!$B$3:$C$8,2,1)</f>
        <v>五级聘用制书记员</v>
      </c>
      <c r="I32" s="39">
        <f>VLOOKUP(H32,参数表!$C$3:$D$8,2,0)</f>
        <v>2180</v>
      </c>
      <c r="J32" s="41">
        <f>VLOOKUP(D32,参数表!$G$3:$H$5,2,0)*1.2</f>
        <v>2016</v>
      </c>
      <c r="K32" s="39">
        <f t="shared" si="2"/>
        <v>80</v>
      </c>
      <c r="L32" s="39">
        <f t="shared" si="3"/>
        <v>6414</v>
      </c>
      <c r="M32" s="40" t="s">
        <v>317</v>
      </c>
      <c r="N32" s="40">
        <f>五险一金计算!$K$6</f>
        <v>985</v>
      </c>
      <c r="O32" s="40">
        <v>12</v>
      </c>
      <c r="P32" s="39">
        <f t="shared" si="4"/>
        <v>69546</v>
      </c>
    </row>
    <row r="33" spans="1:16" s="21" customFormat="1" ht="14.25">
      <c r="A33" s="30">
        <v>30</v>
      </c>
      <c r="B33" s="31" t="s">
        <v>5</v>
      </c>
      <c r="C33" s="36" t="s">
        <v>383</v>
      </c>
      <c r="D33" s="32" t="s">
        <v>353</v>
      </c>
      <c r="E33" s="32" t="s">
        <v>354</v>
      </c>
      <c r="F33" s="33">
        <v>42186</v>
      </c>
      <c r="G33" s="34">
        <f t="shared" si="1"/>
        <v>3</v>
      </c>
      <c r="H33" s="35" t="str">
        <f>VLOOKUP(G33,参数表!$B$3:$C$8,2,1)</f>
        <v>五级聘用制书记员</v>
      </c>
      <c r="I33" s="39">
        <f>VLOOKUP(H33,参数表!$C$3:$D$8,2,0)</f>
        <v>2180</v>
      </c>
      <c r="J33" s="41">
        <f>VLOOKUP(D33,参数表!$G$3:$H$5,2,0)*1.2</f>
        <v>2016</v>
      </c>
      <c r="K33" s="39">
        <f t="shared" si="2"/>
        <v>60</v>
      </c>
      <c r="L33" s="39">
        <f t="shared" si="3"/>
        <v>6384</v>
      </c>
      <c r="M33" s="40" t="s">
        <v>317</v>
      </c>
      <c r="N33" s="40">
        <f>五险一金计算!$K$6</f>
        <v>985</v>
      </c>
      <c r="O33" s="40">
        <v>12</v>
      </c>
      <c r="P33" s="39">
        <f t="shared" si="4"/>
        <v>69276</v>
      </c>
    </row>
    <row r="34" spans="1:16" s="21" customFormat="1" ht="14.25">
      <c r="A34" s="30">
        <v>31</v>
      </c>
      <c r="B34" s="31" t="s">
        <v>5</v>
      </c>
      <c r="C34" s="36" t="s">
        <v>384</v>
      </c>
      <c r="D34" s="32" t="s">
        <v>353</v>
      </c>
      <c r="E34" s="32" t="s">
        <v>354</v>
      </c>
      <c r="F34" s="33">
        <v>42522</v>
      </c>
      <c r="G34" s="34">
        <f t="shared" si="1"/>
        <v>2</v>
      </c>
      <c r="H34" s="35" t="str">
        <f>VLOOKUP(G34,参数表!$B$3:$C$8,2,1)</f>
        <v>六级聘用制书记员</v>
      </c>
      <c r="I34" s="39">
        <f>VLOOKUP(H34,参数表!$C$3:$D$8,2,0)</f>
        <v>1880</v>
      </c>
      <c r="J34" s="41">
        <f>VLOOKUP(D34,参数表!$G$3:$H$5,2,0)*1.2</f>
        <v>2016</v>
      </c>
      <c r="K34" s="39">
        <f t="shared" si="2"/>
        <v>40</v>
      </c>
      <c r="L34" s="39">
        <f t="shared" si="3"/>
        <v>5904</v>
      </c>
      <c r="M34" s="40" t="s">
        <v>317</v>
      </c>
      <c r="N34" s="40">
        <f>五险一金计算!$K$6</f>
        <v>985</v>
      </c>
      <c r="O34" s="40">
        <v>12</v>
      </c>
      <c r="P34" s="39">
        <f t="shared" si="4"/>
        <v>64956</v>
      </c>
    </row>
    <row r="35" spans="1:16" s="21" customFormat="1" ht="14.25">
      <c r="A35" s="30">
        <v>32</v>
      </c>
      <c r="B35" s="31" t="s">
        <v>5</v>
      </c>
      <c r="C35" s="36" t="s">
        <v>385</v>
      </c>
      <c r="D35" s="32" t="s">
        <v>353</v>
      </c>
      <c r="E35" s="32" t="s">
        <v>354</v>
      </c>
      <c r="F35" s="33">
        <v>41699</v>
      </c>
      <c r="G35" s="34">
        <f t="shared" si="1"/>
        <v>4</v>
      </c>
      <c r="H35" s="35" t="str">
        <f>VLOOKUP(G35,参数表!$B$3:$C$8,2,1)</f>
        <v>五级聘用制书记员</v>
      </c>
      <c r="I35" s="39">
        <f>VLOOKUP(H35,参数表!$C$3:$D$8,2,0)</f>
        <v>2180</v>
      </c>
      <c r="J35" s="41">
        <f>VLOOKUP(D35,参数表!$G$3:$H$5,2,0)*1.2</f>
        <v>2016</v>
      </c>
      <c r="K35" s="39">
        <f t="shared" si="2"/>
        <v>80</v>
      </c>
      <c r="L35" s="39">
        <f t="shared" si="3"/>
        <v>6414</v>
      </c>
      <c r="M35" s="40" t="s">
        <v>317</v>
      </c>
      <c r="N35" s="40">
        <f>五险一金计算!$K$6</f>
        <v>985</v>
      </c>
      <c r="O35" s="40">
        <v>12</v>
      </c>
      <c r="P35" s="39">
        <f t="shared" si="4"/>
        <v>69546</v>
      </c>
    </row>
    <row r="36" spans="1:16" s="21" customFormat="1" ht="14.25">
      <c r="A36" s="30">
        <v>33</v>
      </c>
      <c r="B36" s="31" t="s">
        <v>5</v>
      </c>
      <c r="C36" s="36" t="s">
        <v>386</v>
      </c>
      <c r="D36" s="32" t="s">
        <v>353</v>
      </c>
      <c r="E36" s="32" t="s">
        <v>354</v>
      </c>
      <c r="F36" s="33">
        <v>41699</v>
      </c>
      <c r="G36" s="34">
        <f t="shared" si="1"/>
        <v>4</v>
      </c>
      <c r="H36" s="35" t="str">
        <f>VLOOKUP(G36,参数表!$B$3:$C$8,2,1)</f>
        <v>五级聘用制书记员</v>
      </c>
      <c r="I36" s="39">
        <f>VLOOKUP(H36,参数表!$C$3:$D$8,2,0)</f>
        <v>2180</v>
      </c>
      <c r="J36" s="41">
        <f>VLOOKUP(D36,参数表!$G$3:$H$5,2,0)*1.2</f>
        <v>2016</v>
      </c>
      <c r="K36" s="39">
        <f t="shared" si="2"/>
        <v>80</v>
      </c>
      <c r="L36" s="39">
        <f t="shared" si="3"/>
        <v>6414</v>
      </c>
      <c r="M36" s="40" t="s">
        <v>317</v>
      </c>
      <c r="N36" s="40">
        <f>五险一金计算!$K$6</f>
        <v>985</v>
      </c>
      <c r="O36" s="40">
        <v>12</v>
      </c>
      <c r="P36" s="39">
        <f t="shared" si="4"/>
        <v>69546</v>
      </c>
    </row>
    <row r="37" spans="1:16" s="21" customFormat="1" ht="14.25">
      <c r="A37" s="30">
        <v>34</v>
      </c>
      <c r="B37" s="31" t="s">
        <v>5</v>
      </c>
      <c r="C37" s="37" t="s">
        <v>387</v>
      </c>
      <c r="D37" s="32" t="s">
        <v>353</v>
      </c>
      <c r="E37" s="32" t="s">
        <v>354</v>
      </c>
      <c r="F37" s="33">
        <v>42552</v>
      </c>
      <c r="G37" s="34">
        <f t="shared" si="1"/>
        <v>2</v>
      </c>
      <c r="H37" s="35" t="str">
        <f>VLOOKUP(G37,参数表!$B$3:$C$8,2,1)</f>
        <v>六级聘用制书记员</v>
      </c>
      <c r="I37" s="39">
        <f>VLOOKUP(H37,参数表!$C$3:$D$8,2,0)</f>
        <v>1880</v>
      </c>
      <c r="J37" s="41">
        <f>VLOOKUP(D37,参数表!$G$3:$H$5,2,0)*1.2</f>
        <v>2016</v>
      </c>
      <c r="K37" s="39">
        <f t="shared" si="2"/>
        <v>40</v>
      </c>
      <c r="L37" s="39">
        <f t="shared" si="3"/>
        <v>5904</v>
      </c>
      <c r="M37" s="40" t="s">
        <v>317</v>
      </c>
      <c r="N37" s="40">
        <f>五险一金计算!$K$6</f>
        <v>985</v>
      </c>
      <c r="O37" s="40">
        <v>12</v>
      </c>
      <c r="P37" s="39">
        <f t="shared" si="4"/>
        <v>64956</v>
      </c>
    </row>
    <row r="38" spans="1:16" s="21" customFormat="1" ht="14.25">
      <c r="A38" s="30">
        <v>35</v>
      </c>
      <c r="B38" s="31" t="s">
        <v>5</v>
      </c>
      <c r="C38" s="37" t="s">
        <v>388</v>
      </c>
      <c r="D38" s="32" t="s">
        <v>353</v>
      </c>
      <c r="E38" s="32" t="s">
        <v>354</v>
      </c>
      <c r="F38" s="33">
        <v>42800</v>
      </c>
      <c r="G38" s="34">
        <f t="shared" si="1"/>
        <v>1</v>
      </c>
      <c r="H38" s="35" t="str">
        <f>VLOOKUP(G38,参数表!$B$3:$C$8,2,1)</f>
        <v>六级聘用制书记员</v>
      </c>
      <c r="I38" s="39">
        <f>VLOOKUP(H38,参数表!$C$3:$D$8,2,0)</f>
        <v>1880</v>
      </c>
      <c r="J38" s="41">
        <f>VLOOKUP(D38,参数表!$G$3:$H$5,2,0)*1.2</f>
        <v>2016</v>
      </c>
      <c r="K38" s="39">
        <f t="shared" si="2"/>
        <v>20</v>
      </c>
      <c r="L38" s="39">
        <f t="shared" si="3"/>
        <v>5874</v>
      </c>
      <c r="M38" s="40" t="s">
        <v>317</v>
      </c>
      <c r="N38" s="40">
        <f>五险一金计算!$K$6</f>
        <v>985</v>
      </c>
      <c r="O38" s="40">
        <v>12</v>
      </c>
      <c r="P38" s="39">
        <f t="shared" si="4"/>
        <v>64686</v>
      </c>
    </row>
    <row r="39" spans="1:16" s="21" customFormat="1" ht="14.25">
      <c r="A39" s="30">
        <v>36</v>
      </c>
      <c r="B39" s="31" t="s">
        <v>5</v>
      </c>
      <c r="C39" s="37" t="s">
        <v>389</v>
      </c>
      <c r="D39" s="32" t="s">
        <v>353</v>
      </c>
      <c r="E39" s="32" t="s">
        <v>354</v>
      </c>
      <c r="F39" s="33">
        <v>42800</v>
      </c>
      <c r="G39" s="34">
        <f t="shared" si="1"/>
        <v>1</v>
      </c>
      <c r="H39" s="35" t="str">
        <f>VLOOKUP(G39,参数表!$B$3:$C$8,2,1)</f>
        <v>六级聘用制书记员</v>
      </c>
      <c r="I39" s="39">
        <f>VLOOKUP(H39,参数表!$C$3:$D$8,2,0)</f>
        <v>1880</v>
      </c>
      <c r="J39" s="41">
        <f>VLOOKUP(D39,参数表!$G$3:$H$5,2,0)*1.2</f>
        <v>2016</v>
      </c>
      <c r="K39" s="39">
        <f t="shared" si="2"/>
        <v>20</v>
      </c>
      <c r="L39" s="39">
        <f t="shared" si="3"/>
        <v>5874</v>
      </c>
      <c r="M39" s="40" t="s">
        <v>317</v>
      </c>
      <c r="N39" s="40">
        <f>五险一金计算!$K$6</f>
        <v>985</v>
      </c>
      <c r="O39" s="40">
        <v>12</v>
      </c>
      <c r="P39" s="39">
        <f t="shared" si="4"/>
        <v>64686</v>
      </c>
    </row>
    <row r="40" spans="1:16" s="21" customFormat="1" ht="14.25">
      <c r="A40" s="30">
        <v>37</v>
      </c>
      <c r="B40" s="31" t="s">
        <v>5</v>
      </c>
      <c r="C40" s="37" t="s">
        <v>390</v>
      </c>
      <c r="D40" s="32" t="s">
        <v>353</v>
      </c>
      <c r="E40" s="32" t="s">
        <v>354</v>
      </c>
      <c r="F40" s="33">
        <v>42800</v>
      </c>
      <c r="G40" s="34">
        <f t="shared" si="1"/>
        <v>1</v>
      </c>
      <c r="H40" s="35" t="str">
        <f>VLOOKUP(G40,参数表!$B$3:$C$8,2,1)</f>
        <v>六级聘用制书记员</v>
      </c>
      <c r="I40" s="39">
        <f>VLOOKUP(H40,参数表!$C$3:$D$8,2,0)</f>
        <v>1880</v>
      </c>
      <c r="J40" s="41">
        <f>VLOOKUP(D40,参数表!$G$3:$H$5,2,0)*1.2</f>
        <v>2016</v>
      </c>
      <c r="K40" s="39">
        <f t="shared" si="2"/>
        <v>20</v>
      </c>
      <c r="L40" s="39">
        <f t="shared" si="3"/>
        <v>5874</v>
      </c>
      <c r="M40" s="40" t="s">
        <v>317</v>
      </c>
      <c r="N40" s="40">
        <f>五险一金计算!$K$6</f>
        <v>985</v>
      </c>
      <c r="O40" s="40">
        <v>12</v>
      </c>
      <c r="P40" s="39">
        <f t="shared" si="4"/>
        <v>64686</v>
      </c>
    </row>
    <row r="41" spans="1:16" s="21" customFormat="1" ht="14.25">
      <c r="A41" s="30">
        <v>38</v>
      </c>
      <c r="B41" s="31" t="s">
        <v>5</v>
      </c>
      <c r="C41" s="37" t="s">
        <v>391</v>
      </c>
      <c r="D41" s="32" t="s">
        <v>353</v>
      </c>
      <c r="E41" s="32" t="s">
        <v>354</v>
      </c>
      <c r="F41" s="33">
        <v>42800</v>
      </c>
      <c r="G41" s="34">
        <f t="shared" si="1"/>
        <v>1</v>
      </c>
      <c r="H41" s="35" t="str">
        <f>VLOOKUP(G41,参数表!$B$3:$C$8,2,1)</f>
        <v>六级聘用制书记员</v>
      </c>
      <c r="I41" s="39">
        <f>VLOOKUP(H41,参数表!$C$3:$D$8,2,0)</f>
        <v>1880</v>
      </c>
      <c r="J41" s="41">
        <f>VLOOKUP(D41,参数表!$G$3:$H$5,2,0)*1.2</f>
        <v>2016</v>
      </c>
      <c r="K41" s="39">
        <f t="shared" si="2"/>
        <v>20</v>
      </c>
      <c r="L41" s="39">
        <f t="shared" si="3"/>
        <v>5874</v>
      </c>
      <c r="M41" s="40" t="s">
        <v>317</v>
      </c>
      <c r="N41" s="40">
        <f>五险一金计算!$K$6</f>
        <v>985</v>
      </c>
      <c r="O41" s="40">
        <v>12</v>
      </c>
      <c r="P41" s="39">
        <f t="shared" si="4"/>
        <v>64686</v>
      </c>
    </row>
    <row r="42" spans="1:16" s="21" customFormat="1" ht="14.25">
      <c r="A42" s="30">
        <v>39</v>
      </c>
      <c r="B42" s="31" t="s">
        <v>5</v>
      </c>
      <c r="C42" s="37" t="s">
        <v>392</v>
      </c>
      <c r="D42" s="32" t="s">
        <v>353</v>
      </c>
      <c r="E42" s="32" t="s">
        <v>354</v>
      </c>
      <c r="F42" s="33">
        <v>42800</v>
      </c>
      <c r="G42" s="34">
        <f t="shared" si="1"/>
        <v>1</v>
      </c>
      <c r="H42" s="35" t="str">
        <f>VLOOKUP(G42,参数表!$B$3:$C$8,2,1)</f>
        <v>六级聘用制书记员</v>
      </c>
      <c r="I42" s="39">
        <f>VLOOKUP(H42,参数表!$C$3:$D$8,2,0)</f>
        <v>1880</v>
      </c>
      <c r="J42" s="41">
        <f>VLOOKUP(D42,参数表!$G$3:$H$5,2,0)*1.2</f>
        <v>2016</v>
      </c>
      <c r="K42" s="39">
        <f t="shared" si="2"/>
        <v>20</v>
      </c>
      <c r="L42" s="39">
        <f t="shared" si="3"/>
        <v>5874</v>
      </c>
      <c r="M42" s="40" t="s">
        <v>317</v>
      </c>
      <c r="N42" s="40">
        <f>五险一金计算!$K$6</f>
        <v>985</v>
      </c>
      <c r="O42" s="40">
        <v>12</v>
      </c>
      <c r="P42" s="39">
        <f t="shared" si="4"/>
        <v>64686</v>
      </c>
    </row>
    <row r="43" spans="1:16" s="21" customFormat="1" ht="14.25">
      <c r="A43" s="30">
        <v>40</v>
      </c>
      <c r="B43" s="31" t="s">
        <v>5</v>
      </c>
      <c r="C43" s="37" t="s">
        <v>393</v>
      </c>
      <c r="D43" s="32" t="s">
        <v>353</v>
      </c>
      <c r="E43" s="32" t="s">
        <v>354</v>
      </c>
      <c r="F43" s="33">
        <v>42808</v>
      </c>
      <c r="G43" s="34">
        <f t="shared" si="1"/>
        <v>1</v>
      </c>
      <c r="H43" s="35" t="str">
        <f>VLOOKUP(G43,参数表!$B$3:$C$8,2,1)</f>
        <v>六级聘用制书记员</v>
      </c>
      <c r="I43" s="39">
        <f>VLOOKUP(H43,参数表!$C$3:$D$8,2,0)</f>
        <v>1880</v>
      </c>
      <c r="J43" s="41">
        <f>VLOOKUP(D43,参数表!$G$3:$H$5,2,0)*1.2</f>
        <v>2016</v>
      </c>
      <c r="K43" s="39">
        <f t="shared" si="2"/>
        <v>20</v>
      </c>
      <c r="L43" s="39">
        <f t="shared" si="3"/>
        <v>5874</v>
      </c>
      <c r="M43" s="40" t="s">
        <v>317</v>
      </c>
      <c r="N43" s="40">
        <f>五险一金计算!$K$6</f>
        <v>985</v>
      </c>
      <c r="O43" s="40">
        <v>12</v>
      </c>
      <c r="P43" s="39">
        <f t="shared" si="4"/>
        <v>64686</v>
      </c>
    </row>
    <row r="44" spans="1:16" s="21" customFormat="1" ht="14.25">
      <c r="A44" s="30">
        <v>41</v>
      </c>
      <c r="B44" s="31" t="s">
        <v>5</v>
      </c>
      <c r="C44" s="37" t="s">
        <v>394</v>
      </c>
      <c r="D44" s="32" t="s">
        <v>353</v>
      </c>
      <c r="E44" s="32" t="s">
        <v>354</v>
      </c>
      <c r="F44" s="33">
        <v>42808</v>
      </c>
      <c r="G44" s="34">
        <f t="shared" si="1"/>
        <v>1</v>
      </c>
      <c r="H44" s="35" t="str">
        <f>VLOOKUP(G44,参数表!$B$3:$C$8,2,1)</f>
        <v>六级聘用制书记员</v>
      </c>
      <c r="I44" s="39">
        <f>VLOOKUP(H44,参数表!$C$3:$D$8,2,0)</f>
        <v>1880</v>
      </c>
      <c r="J44" s="41">
        <f>VLOOKUP(D44,参数表!$G$3:$H$5,2,0)*1.2</f>
        <v>2016</v>
      </c>
      <c r="K44" s="39">
        <f t="shared" si="2"/>
        <v>20</v>
      </c>
      <c r="L44" s="39">
        <f t="shared" si="3"/>
        <v>5874</v>
      </c>
      <c r="M44" s="40" t="s">
        <v>317</v>
      </c>
      <c r="N44" s="40">
        <f>五险一金计算!$K$6</f>
        <v>985</v>
      </c>
      <c r="O44" s="40">
        <v>12</v>
      </c>
      <c r="P44" s="39">
        <f t="shared" si="4"/>
        <v>64686</v>
      </c>
    </row>
    <row r="45" spans="1:16" s="21" customFormat="1" ht="14.25">
      <c r="A45" s="30">
        <v>42</v>
      </c>
      <c r="B45" s="31" t="s">
        <v>5</v>
      </c>
      <c r="C45" s="37" t="s">
        <v>395</v>
      </c>
      <c r="D45" s="32" t="s">
        <v>353</v>
      </c>
      <c r="E45" s="32" t="s">
        <v>354</v>
      </c>
      <c r="F45" s="33">
        <v>42914</v>
      </c>
      <c r="G45" s="34">
        <f t="shared" si="1"/>
        <v>1</v>
      </c>
      <c r="H45" s="35" t="str">
        <f>VLOOKUP(G45,参数表!$B$3:$C$8,2,1)</f>
        <v>六级聘用制书记员</v>
      </c>
      <c r="I45" s="39">
        <f>VLOOKUP(H45,参数表!$C$3:$D$8,2,0)</f>
        <v>1880</v>
      </c>
      <c r="J45" s="41">
        <f>VLOOKUP(D45,参数表!$G$3:$H$5,2,0)*1.2</f>
        <v>2016</v>
      </c>
      <c r="K45" s="39">
        <f t="shared" si="2"/>
        <v>20</v>
      </c>
      <c r="L45" s="39">
        <f t="shared" si="3"/>
        <v>5874</v>
      </c>
      <c r="M45" s="40" t="s">
        <v>317</v>
      </c>
      <c r="N45" s="40">
        <f>五险一金计算!$K$6</f>
        <v>985</v>
      </c>
      <c r="O45" s="40">
        <v>12</v>
      </c>
      <c r="P45" s="39">
        <f t="shared" si="4"/>
        <v>64686</v>
      </c>
    </row>
    <row r="46" spans="1:16" s="21" customFormat="1" ht="14.25">
      <c r="A46" s="30">
        <v>43</v>
      </c>
      <c r="B46" s="31" t="s">
        <v>5</v>
      </c>
      <c r="C46" s="37" t="s">
        <v>396</v>
      </c>
      <c r="D46" s="32" t="s">
        <v>353</v>
      </c>
      <c r="E46" s="32" t="s">
        <v>354</v>
      </c>
      <c r="F46" s="33">
        <v>42914</v>
      </c>
      <c r="G46" s="34">
        <f t="shared" si="1"/>
        <v>1</v>
      </c>
      <c r="H46" s="35" t="str">
        <f>VLOOKUP(G46,参数表!$B$3:$C$8,2,1)</f>
        <v>六级聘用制书记员</v>
      </c>
      <c r="I46" s="39">
        <f>VLOOKUP(H46,参数表!$C$3:$D$8,2,0)</f>
        <v>1880</v>
      </c>
      <c r="J46" s="41">
        <f>VLOOKUP(D46,参数表!$G$3:$H$5,2,0)*1.2</f>
        <v>2016</v>
      </c>
      <c r="K46" s="39">
        <f t="shared" si="2"/>
        <v>20</v>
      </c>
      <c r="L46" s="39">
        <f t="shared" si="3"/>
        <v>5874</v>
      </c>
      <c r="M46" s="40" t="s">
        <v>317</v>
      </c>
      <c r="N46" s="40">
        <f>五险一金计算!$K$6</f>
        <v>985</v>
      </c>
      <c r="O46" s="40">
        <v>12</v>
      </c>
      <c r="P46" s="39">
        <f t="shared" si="4"/>
        <v>64686</v>
      </c>
    </row>
    <row r="47" spans="1:16" s="21" customFormat="1" ht="14.25">
      <c r="A47" s="30">
        <v>44</v>
      </c>
      <c r="B47" s="31" t="s">
        <v>5</v>
      </c>
      <c r="C47" s="37" t="s">
        <v>397</v>
      </c>
      <c r="D47" s="32" t="s">
        <v>353</v>
      </c>
      <c r="E47" s="32" t="s">
        <v>354</v>
      </c>
      <c r="F47" s="33">
        <v>42914</v>
      </c>
      <c r="G47" s="34">
        <f t="shared" si="1"/>
        <v>1</v>
      </c>
      <c r="H47" s="35" t="str">
        <f>VLOOKUP(G47,参数表!$B$3:$C$8,2,1)</f>
        <v>六级聘用制书记员</v>
      </c>
      <c r="I47" s="39">
        <f>VLOOKUP(H47,参数表!$C$3:$D$8,2,0)</f>
        <v>1880</v>
      </c>
      <c r="J47" s="41">
        <f>VLOOKUP(D47,参数表!$G$3:$H$5,2,0)*1.2</f>
        <v>2016</v>
      </c>
      <c r="K47" s="39">
        <f t="shared" si="2"/>
        <v>20</v>
      </c>
      <c r="L47" s="39">
        <f t="shared" si="3"/>
        <v>5874</v>
      </c>
      <c r="M47" s="40" t="s">
        <v>317</v>
      </c>
      <c r="N47" s="40">
        <f>五险一金计算!$K$6</f>
        <v>985</v>
      </c>
      <c r="O47" s="40">
        <v>12</v>
      </c>
      <c r="P47" s="39">
        <f t="shared" si="4"/>
        <v>64686</v>
      </c>
    </row>
    <row r="48" spans="1:16" s="21" customFormat="1" ht="14.25">
      <c r="A48" s="30">
        <v>45</v>
      </c>
      <c r="B48" s="31" t="s">
        <v>5</v>
      </c>
      <c r="C48" s="37" t="s">
        <v>398</v>
      </c>
      <c r="D48" s="32" t="s">
        <v>353</v>
      </c>
      <c r="E48" s="32" t="s">
        <v>354</v>
      </c>
      <c r="F48" s="33">
        <v>42914</v>
      </c>
      <c r="G48" s="34">
        <f t="shared" si="1"/>
        <v>1</v>
      </c>
      <c r="H48" s="35" t="str">
        <f>VLOOKUP(G48,参数表!$B$3:$C$8,2,1)</f>
        <v>六级聘用制书记员</v>
      </c>
      <c r="I48" s="39">
        <f>VLOOKUP(H48,参数表!$C$3:$D$8,2,0)</f>
        <v>1880</v>
      </c>
      <c r="J48" s="41">
        <f>VLOOKUP(D48,参数表!$G$3:$H$5,2,0)*1.2</f>
        <v>2016</v>
      </c>
      <c r="K48" s="39">
        <f t="shared" si="2"/>
        <v>20</v>
      </c>
      <c r="L48" s="39">
        <f t="shared" si="3"/>
        <v>5874</v>
      </c>
      <c r="M48" s="40" t="s">
        <v>317</v>
      </c>
      <c r="N48" s="40">
        <f>五险一金计算!$K$6</f>
        <v>985</v>
      </c>
      <c r="O48" s="40">
        <v>12</v>
      </c>
      <c r="P48" s="39">
        <f t="shared" si="4"/>
        <v>64686</v>
      </c>
    </row>
    <row r="49" spans="1:16" s="21" customFormat="1" ht="14.25">
      <c r="A49" s="30">
        <v>46</v>
      </c>
      <c r="B49" s="31" t="s">
        <v>5</v>
      </c>
      <c r="C49" s="37" t="s">
        <v>399</v>
      </c>
      <c r="D49" s="32" t="s">
        <v>353</v>
      </c>
      <c r="E49" s="32" t="s">
        <v>354</v>
      </c>
      <c r="F49" s="33">
        <v>42914</v>
      </c>
      <c r="G49" s="34">
        <f t="shared" si="1"/>
        <v>1</v>
      </c>
      <c r="H49" s="35" t="str">
        <f>VLOOKUP(G49,参数表!$B$3:$C$8,2,1)</f>
        <v>六级聘用制书记员</v>
      </c>
      <c r="I49" s="39">
        <f>VLOOKUP(H49,参数表!$C$3:$D$8,2,0)</f>
        <v>1880</v>
      </c>
      <c r="J49" s="41">
        <f>VLOOKUP(D49,参数表!$G$3:$H$5,2,0)*1.2</f>
        <v>2016</v>
      </c>
      <c r="K49" s="39">
        <f t="shared" si="2"/>
        <v>20</v>
      </c>
      <c r="L49" s="39">
        <f t="shared" si="3"/>
        <v>5874</v>
      </c>
      <c r="M49" s="40" t="s">
        <v>317</v>
      </c>
      <c r="N49" s="40">
        <f>五险一金计算!$K$6</f>
        <v>985</v>
      </c>
      <c r="O49" s="40">
        <v>12</v>
      </c>
      <c r="P49" s="39">
        <f t="shared" si="4"/>
        <v>64686</v>
      </c>
    </row>
    <row r="50" spans="1:16" s="21" customFormat="1" ht="14.25">
      <c r="A50" s="30">
        <v>47</v>
      </c>
      <c r="B50" s="31" t="s">
        <v>5</v>
      </c>
      <c r="C50" s="37" t="s">
        <v>400</v>
      </c>
      <c r="D50" s="32" t="s">
        <v>353</v>
      </c>
      <c r="E50" s="32" t="s">
        <v>354</v>
      </c>
      <c r="F50" s="33">
        <v>42914</v>
      </c>
      <c r="G50" s="34">
        <f t="shared" si="1"/>
        <v>1</v>
      </c>
      <c r="H50" s="35" t="str">
        <f>VLOOKUP(G50,参数表!$B$3:$C$8,2,1)</f>
        <v>六级聘用制书记员</v>
      </c>
      <c r="I50" s="39">
        <f>VLOOKUP(H50,参数表!$C$3:$D$8,2,0)</f>
        <v>1880</v>
      </c>
      <c r="J50" s="41">
        <f>VLOOKUP(D50,参数表!$G$3:$H$5,2,0)*1.2</f>
        <v>2016</v>
      </c>
      <c r="K50" s="39">
        <f t="shared" si="2"/>
        <v>20</v>
      </c>
      <c r="L50" s="39">
        <f t="shared" si="3"/>
        <v>5874</v>
      </c>
      <c r="M50" s="40" t="s">
        <v>317</v>
      </c>
      <c r="N50" s="40">
        <f>五险一金计算!$K$6</f>
        <v>985</v>
      </c>
      <c r="O50" s="40">
        <v>12</v>
      </c>
      <c r="P50" s="39">
        <f t="shared" si="4"/>
        <v>64686</v>
      </c>
    </row>
    <row r="51" spans="1:16" s="21" customFormat="1" ht="14.25">
      <c r="A51" s="30">
        <v>48</v>
      </c>
      <c r="B51" s="31" t="s">
        <v>5</v>
      </c>
      <c r="C51" s="37" t="s">
        <v>401</v>
      </c>
      <c r="D51" s="32" t="s">
        <v>353</v>
      </c>
      <c r="E51" s="32" t="s">
        <v>354</v>
      </c>
      <c r="F51" s="33">
        <v>42914</v>
      </c>
      <c r="G51" s="34">
        <f t="shared" si="1"/>
        <v>1</v>
      </c>
      <c r="H51" s="35" t="str">
        <f>VLOOKUP(G51,参数表!$B$3:$C$8,2,1)</f>
        <v>六级聘用制书记员</v>
      </c>
      <c r="I51" s="39">
        <f>VLOOKUP(H51,参数表!$C$3:$D$8,2,0)</f>
        <v>1880</v>
      </c>
      <c r="J51" s="41">
        <f>VLOOKUP(D51,参数表!$G$3:$H$5,2,0)*1.2</f>
        <v>2016</v>
      </c>
      <c r="K51" s="39">
        <f t="shared" si="2"/>
        <v>20</v>
      </c>
      <c r="L51" s="39">
        <f t="shared" si="3"/>
        <v>5874</v>
      </c>
      <c r="M51" s="40" t="s">
        <v>317</v>
      </c>
      <c r="N51" s="40">
        <f>五险一金计算!$K$6</f>
        <v>985</v>
      </c>
      <c r="O51" s="40">
        <v>12</v>
      </c>
      <c r="P51" s="39">
        <f t="shared" si="4"/>
        <v>64686</v>
      </c>
    </row>
    <row r="52" spans="1:16" s="21" customFormat="1" ht="14.25">
      <c r="A52" s="30">
        <v>49</v>
      </c>
      <c r="B52" s="31" t="s">
        <v>5</v>
      </c>
      <c r="C52" s="37" t="s">
        <v>402</v>
      </c>
      <c r="D52" s="32" t="s">
        <v>353</v>
      </c>
      <c r="E52" s="32" t="s">
        <v>354</v>
      </c>
      <c r="F52" s="33">
        <v>42914</v>
      </c>
      <c r="G52" s="34">
        <f t="shared" si="1"/>
        <v>1</v>
      </c>
      <c r="H52" s="35" t="str">
        <f>VLOOKUP(G52,参数表!$B$3:$C$8,2,1)</f>
        <v>六级聘用制书记员</v>
      </c>
      <c r="I52" s="39">
        <f>VLOOKUP(H52,参数表!$C$3:$D$8,2,0)</f>
        <v>1880</v>
      </c>
      <c r="J52" s="41">
        <f>VLOOKUP(D52,参数表!$G$3:$H$5,2,0)*1.2</f>
        <v>2016</v>
      </c>
      <c r="K52" s="39">
        <f t="shared" si="2"/>
        <v>20</v>
      </c>
      <c r="L52" s="39">
        <f t="shared" si="3"/>
        <v>5874</v>
      </c>
      <c r="M52" s="40" t="s">
        <v>317</v>
      </c>
      <c r="N52" s="40">
        <f>五险一金计算!$K$6</f>
        <v>985</v>
      </c>
      <c r="O52" s="40">
        <v>12</v>
      </c>
      <c r="P52" s="39">
        <f t="shared" si="4"/>
        <v>64686</v>
      </c>
    </row>
    <row r="53" spans="1:16" s="21" customFormat="1" ht="14.25">
      <c r="A53" s="30">
        <v>50</v>
      </c>
      <c r="B53" s="31" t="s">
        <v>5</v>
      </c>
      <c r="C53" s="37" t="s">
        <v>403</v>
      </c>
      <c r="D53" s="32" t="s">
        <v>353</v>
      </c>
      <c r="E53" s="32" t="s">
        <v>354</v>
      </c>
      <c r="F53" s="33">
        <v>42914</v>
      </c>
      <c r="G53" s="34">
        <f t="shared" si="1"/>
        <v>1</v>
      </c>
      <c r="H53" s="35" t="str">
        <f>VLOOKUP(G53,参数表!$B$3:$C$8,2,1)</f>
        <v>六级聘用制书记员</v>
      </c>
      <c r="I53" s="39">
        <f>VLOOKUP(H53,参数表!$C$3:$D$8,2,0)</f>
        <v>1880</v>
      </c>
      <c r="J53" s="41">
        <f>VLOOKUP(D53,参数表!$G$3:$H$5,2,0)*1.2</f>
        <v>2016</v>
      </c>
      <c r="K53" s="39">
        <f t="shared" si="2"/>
        <v>20</v>
      </c>
      <c r="L53" s="39">
        <f t="shared" si="3"/>
        <v>5874</v>
      </c>
      <c r="M53" s="40" t="s">
        <v>317</v>
      </c>
      <c r="N53" s="40">
        <f>五险一金计算!$K$6</f>
        <v>985</v>
      </c>
      <c r="O53" s="40">
        <v>12</v>
      </c>
      <c r="P53" s="39">
        <f t="shared" si="4"/>
        <v>64686</v>
      </c>
    </row>
    <row r="54" spans="1:16" s="21" customFormat="1" ht="14.25">
      <c r="A54" s="30">
        <v>51</v>
      </c>
      <c r="B54" s="31" t="s">
        <v>5</v>
      </c>
      <c r="C54" s="37" t="s">
        <v>404</v>
      </c>
      <c r="D54" s="32" t="s">
        <v>353</v>
      </c>
      <c r="E54" s="32" t="s">
        <v>354</v>
      </c>
      <c r="F54" s="33">
        <v>42914</v>
      </c>
      <c r="G54" s="34">
        <f t="shared" si="1"/>
        <v>1</v>
      </c>
      <c r="H54" s="35" t="str">
        <f>VLOOKUP(G54,参数表!$B$3:$C$8,2,1)</f>
        <v>六级聘用制书记员</v>
      </c>
      <c r="I54" s="39">
        <f>VLOOKUP(H54,参数表!$C$3:$D$8,2,0)</f>
        <v>1880</v>
      </c>
      <c r="J54" s="41">
        <f>VLOOKUP(D54,参数表!$G$3:$H$5,2,0)*1.2</f>
        <v>2016</v>
      </c>
      <c r="K54" s="39">
        <f t="shared" si="2"/>
        <v>20</v>
      </c>
      <c r="L54" s="39">
        <f t="shared" si="3"/>
        <v>5874</v>
      </c>
      <c r="M54" s="40" t="s">
        <v>317</v>
      </c>
      <c r="N54" s="40">
        <f>五险一金计算!$K$6</f>
        <v>985</v>
      </c>
      <c r="O54" s="40">
        <v>12</v>
      </c>
      <c r="P54" s="39">
        <f t="shared" si="4"/>
        <v>64686</v>
      </c>
    </row>
    <row r="55" spans="1:16" s="21" customFormat="1" ht="14.25">
      <c r="A55" s="30">
        <v>52</v>
      </c>
      <c r="B55" s="31" t="s">
        <v>5</v>
      </c>
      <c r="C55" s="37" t="s">
        <v>405</v>
      </c>
      <c r="D55" s="32" t="s">
        <v>353</v>
      </c>
      <c r="E55" s="32" t="s">
        <v>354</v>
      </c>
      <c r="F55" s="33">
        <v>42955</v>
      </c>
      <c r="G55" s="34">
        <f t="shared" si="1"/>
        <v>1</v>
      </c>
      <c r="H55" s="35" t="str">
        <f>VLOOKUP(G55,参数表!$B$3:$C$8,2,1)</f>
        <v>六级聘用制书记员</v>
      </c>
      <c r="I55" s="39">
        <f>VLOOKUP(H55,参数表!$C$3:$D$8,2,0)</f>
        <v>1880</v>
      </c>
      <c r="J55" s="41">
        <f>VLOOKUP(D55,参数表!$G$3:$H$5,2,0)*1.2</f>
        <v>2016</v>
      </c>
      <c r="K55" s="39">
        <f t="shared" si="2"/>
        <v>20</v>
      </c>
      <c r="L55" s="39">
        <f t="shared" si="3"/>
        <v>5874</v>
      </c>
      <c r="M55" s="40" t="s">
        <v>317</v>
      </c>
      <c r="N55" s="40">
        <f>五险一金计算!$K$6</f>
        <v>985</v>
      </c>
      <c r="O55" s="40">
        <v>12</v>
      </c>
      <c r="P55" s="39">
        <f t="shared" si="4"/>
        <v>64686</v>
      </c>
    </row>
    <row r="56" spans="1:16" s="21" customFormat="1" ht="14.25">
      <c r="A56" s="30">
        <v>53</v>
      </c>
      <c r="B56" s="31" t="s">
        <v>5</v>
      </c>
      <c r="C56" s="37" t="s">
        <v>406</v>
      </c>
      <c r="D56" s="32" t="s">
        <v>353</v>
      </c>
      <c r="E56" s="32" t="s">
        <v>354</v>
      </c>
      <c r="F56" s="33">
        <v>42955</v>
      </c>
      <c r="G56" s="34">
        <f t="shared" si="1"/>
        <v>1</v>
      </c>
      <c r="H56" s="35" t="str">
        <f>VLOOKUP(G56,参数表!$B$3:$C$8,2,1)</f>
        <v>六级聘用制书记员</v>
      </c>
      <c r="I56" s="39">
        <f>VLOOKUP(H56,参数表!$C$3:$D$8,2,0)</f>
        <v>1880</v>
      </c>
      <c r="J56" s="41">
        <f>VLOOKUP(D56,参数表!$G$3:$H$5,2,0)*1.2</f>
        <v>2016</v>
      </c>
      <c r="K56" s="39">
        <f t="shared" si="2"/>
        <v>20</v>
      </c>
      <c r="L56" s="39">
        <f t="shared" si="3"/>
        <v>5874</v>
      </c>
      <c r="M56" s="40" t="s">
        <v>317</v>
      </c>
      <c r="N56" s="40">
        <f>五险一金计算!$K$6</f>
        <v>985</v>
      </c>
      <c r="O56" s="40">
        <v>12</v>
      </c>
      <c r="P56" s="39">
        <f t="shared" si="4"/>
        <v>64686</v>
      </c>
    </row>
    <row r="57" spans="1:16" s="21" customFormat="1" ht="14.25">
      <c r="A57" s="30">
        <v>54</v>
      </c>
      <c r="B57" s="31" t="s">
        <v>5</v>
      </c>
      <c r="C57" s="37" t="s">
        <v>407</v>
      </c>
      <c r="D57" s="32" t="s">
        <v>353</v>
      </c>
      <c r="E57" s="32" t="s">
        <v>354</v>
      </c>
      <c r="F57" s="33">
        <v>43021</v>
      </c>
      <c r="G57" s="34">
        <f t="shared" si="1"/>
        <v>0</v>
      </c>
      <c r="H57" s="35" t="str">
        <f>VLOOKUP(G57,参数表!$B$3:$C$8,2,1)</f>
        <v>六级聘用制书记员</v>
      </c>
      <c r="I57" s="39">
        <f>VLOOKUP(H57,参数表!$C$3:$D$8,2,0)</f>
        <v>1880</v>
      </c>
      <c r="J57" s="41">
        <f>VLOOKUP(D57,参数表!$G$3:$H$5,2,0)*1.2</f>
        <v>2016</v>
      </c>
      <c r="K57" s="39">
        <f t="shared" si="2"/>
        <v>20</v>
      </c>
      <c r="L57" s="39">
        <f t="shared" si="3"/>
        <v>5874</v>
      </c>
      <c r="M57" s="40" t="s">
        <v>317</v>
      </c>
      <c r="N57" s="40">
        <f>五险一金计算!$K$6</f>
        <v>985</v>
      </c>
      <c r="O57" s="40">
        <v>12</v>
      </c>
      <c r="P57" s="39">
        <f t="shared" si="4"/>
        <v>64686</v>
      </c>
    </row>
    <row r="58" spans="1:16" s="21" customFormat="1" ht="14.25">
      <c r="A58" s="30">
        <v>55</v>
      </c>
      <c r="B58" s="31" t="s">
        <v>5</v>
      </c>
      <c r="C58" s="37" t="s">
        <v>408</v>
      </c>
      <c r="D58" s="32" t="s">
        <v>353</v>
      </c>
      <c r="E58" s="32" t="s">
        <v>354</v>
      </c>
      <c r="F58" s="33">
        <v>43021</v>
      </c>
      <c r="G58" s="34">
        <f t="shared" si="1"/>
        <v>0</v>
      </c>
      <c r="H58" s="35" t="str">
        <f>VLOOKUP(G58,参数表!$B$3:$C$8,2,1)</f>
        <v>六级聘用制书记员</v>
      </c>
      <c r="I58" s="39">
        <f>VLOOKUP(H58,参数表!$C$3:$D$8,2,0)</f>
        <v>1880</v>
      </c>
      <c r="J58" s="41">
        <f>VLOOKUP(D58,参数表!$G$3:$H$5,2,0)*1.2</f>
        <v>2016</v>
      </c>
      <c r="K58" s="39">
        <f t="shared" si="2"/>
        <v>20</v>
      </c>
      <c r="L58" s="39">
        <f t="shared" si="3"/>
        <v>5874</v>
      </c>
      <c r="M58" s="40" t="s">
        <v>317</v>
      </c>
      <c r="N58" s="40">
        <f>五险一金计算!$K$6</f>
        <v>985</v>
      </c>
      <c r="O58" s="40">
        <v>12</v>
      </c>
      <c r="P58" s="39">
        <f t="shared" si="4"/>
        <v>64686</v>
      </c>
    </row>
    <row r="59" spans="1:16" s="21" customFormat="1" ht="14.25">
      <c r="A59" s="30">
        <v>56</v>
      </c>
      <c r="B59" s="31" t="s">
        <v>5</v>
      </c>
      <c r="C59" s="37" t="s">
        <v>409</v>
      </c>
      <c r="D59" s="32" t="s">
        <v>353</v>
      </c>
      <c r="E59" s="32" t="s">
        <v>354</v>
      </c>
      <c r="F59" s="33">
        <v>43021</v>
      </c>
      <c r="G59" s="34">
        <f t="shared" si="1"/>
        <v>0</v>
      </c>
      <c r="H59" s="35" t="str">
        <f>VLOOKUP(G59,参数表!$B$3:$C$8,2,1)</f>
        <v>六级聘用制书记员</v>
      </c>
      <c r="I59" s="39">
        <f>VLOOKUP(H59,参数表!$C$3:$D$8,2,0)</f>
        <v>1880</v>
      </c>
      <c r="J59" s="41">
        <f>VLOOKUP(D59,参数表!$G$3:$H$5,2,0)*1.2</f>
        <v>2016</v>
      </c>
      <c r="K59" s="39">
        <f t="shared" si="2"/>
        <v>20</v>
      </c>
      <c r="L59" s="39">
        <f t="shared" si="3"/>
        <v>5874</v>
      </c>
      <c r="M59" s="40" t="s">
        <v>317</v>
      </c>
      <c r="N59" s="40">
        <f>五险一金计算!$K$6</f>
        <v>985</v>
      </c>
      <c r="O59" s="40">
        <v>12</v>
      </c>
      <c r="P59" s="39">
        <f t="shared" si="4"/>
        <v>64686</v>
      </c>
    </row>
    <row r="60" spans="1:16" s="21" customFormat="1" ht="14.25">
      <c r="A60" s="30">
        <v>57</v>
      </c>
      <c r="B60" s="31" t="s">
        <v>5</v>
      </c>
      <c r="C60" s="37" t="s">
        <v>410</v>
      </c>
      <c r="D60" s="32" t="s">
        <v>353</v>
      </c>
      <c r="E60" s="32" t="s">
        <v>354</v>
      </c>
      <c r="F60" s="33">
        <v>43021</v>
      </c>
      <c r="G60" s="34">
        <f t="shared" si="1"/>
        <v>0</v>
      </c>
      <c r="H60" s="35" t="str">
        <f>VLOOKUP(G60,参数表!$B$3:$C$8,2,1)</f>
        <v>六级聘用制书记员</v>
      </c>
      <c r="I60" s="39">
        <f>VLOOKUP(H60,参数表!$C$3:$D$8,2,0)</f>
        <v>1880</v>
      </c>
      <c r="J60" s="41">
        <f>VLOOKUP(D60,参数表!$G$3:$H$5,2,0)*1.2</f>
        <v>2016</v>
      </c>
      <c r="K60" s="39">
        <f t="shared" si="2"/>
        <v>20</v>
      </c>
      <c r="L60" s="39">
        <f t="shared" si="3"/>
        <v>5874</v>
      </c>
      <c r="M60" s="40" t="s">
        <v>317</v>
      </c>
      <c r="N60" s="40">
        <f>五险一金计算!$K$6</f>
        <v>985</v>
      </c>
      <c r="O60" s="40">
        <v>12</v>
      </c>
      <c r="P60" s="39">
        <f t="shared" si="4"/>
        <v>64686</v>
      </c>
    </row>
    <row r="61" spans="1:16" s="21" customFormat="1" ht="14.25">
      <c r="A61" s="30">
        <v>58</v>
      </c>
      <c r="B61" s="31" t="s">
        <v>5</v>
      </c>
      <c r="C61" s="37" t="s">
        <v>411</v>
      </c>
      <c r="D61" s="32" t="s">
        <v>353</v>
      </c>
      <c r="E61" s="32" t="s">
        <v>354</v>
      </c>
      <c r="F61" s="33">
        <v>43021</v>
      </c>
      <c r="G61" s="34">
        <f t="shared" si="1"/>
        <v>0</v>
      </c>
      <c r="H61" s="35" t="str">
        <f>VLOOKUP(G61,参数表!$B$3:$C$8,2,1)</f>
        <v>六级聘用制书记员</v>
      </c>
      <c r="I61" s="39">
        <f>VLOOKUP(H61,参数表!$C$3:$D$8,2,0)</f>
        <v>1880</v>
      </c>
      <c r="J61" s="41">
        <f>VLOOKUP(D61,参数表!$G$3:$H$5,2,0)*1.2</f>
        <v>2016</v>
      </c>
      <c r="K61" s="39">
        <f t="shared" si="2"/>
        <v>20</v>
      </c>
      <c r="L61" s="39">
        <f t="shared" si="3"/>
        <v>5874</v>
      </c>
      <c r="M61" s="40" t="s">
        <v>317</v>
      </c>
      <c r="N61" s="40">
        <f>五险一金计算!$K$6</f>
        <v>985</v>
      </c>
      <c r="O61" s="40">
        <v>12</v>
      </c>
      <c r="P61" s="39">
        <f t="shared" si="4"/>
        <v>64686</v>
      </c>
    </row>
    <row r="62" spans="1:16" s="21" customFormat="1" ht="14.25">
      <c r="A62" s="30">
        <v>59</v>
      </c>
      <c r="B62" s="31" t="s">
        <v>5</v>
      </c>
      <c r="C62" s="37" t="s">
        <v>412</v>
      </c>
      <c r="D62" s="32" t="s">
        <v>353</v>
      </c>
      <c r="E62" s="32" t="s">
        <v>354</v>
      </c>
      <c r="F62" s="33">
        <v>43021</v>
      </c>
      <c r="G62" s="34">
        <f t="shared" si="1"/>
        <v>0</v>
      </c>
      <c r="H62" s="35" t="str">
        <f>VLOOKUP(G62,参数表!$B$3:$C$8,2,1)</f>
        <v>六级聘用制书记员</v>
      </c>
      <c r="I62" s="39">
        <f>VLOOKUP(H62,参数表!$C$3:$D$8,2,0)</f>
        <v>1880</v>
      </c>
      <c r="J62" s="41">
        <f>VLOOKUP(D62,参数表!$G$3:$H$5,2,0)*1.2</f>
        <v>2016</v>
      </c>
      <c r="K62" s="39">
        <f t="shared" si="2"/>
        <v>20</v>
      </c>
      <c r="L62" s="39">
        <f t="shared" si="3"/>
        <v>5874</v>
      </c>
      <c r="M62" s="40" t="s">
        <v>317</v>
      </c>
      <c r="N62" s="40">
        <f>五险一金计算!$K$6</f>
        <v>985</v>
      </c>
      <c r="O62" s="40">
        <v>12</v>
      </c>
      <c r="P62" s="39">
        <f t="shared" si="4"/>
        <v>64686</v>
      </c>
    </row>
    <row r="63" spans="1:16" s="21" customFormat="1" ht="14.25">
      <c r="A63" s="30">
        <v>60</v>
      </c>
      <c r="B63" s="31" t="s">
        <v>5</v>
      </c>
      <c r="C63" s="37" t="s">
        <v>413</v>
      </c>
      <c r="D63" s="32" t="s">
        <v>353</v>
      </c>
      <c r="E63" s="32" t="s">
        <v>354</v>
      </c>
      <c r="F63" s="33">
        <v>43021</v>
      </c>
      <c r="G63" s="34">
        <f t="shared" si="1"/>
        <v>0</v>
      </c>
      <c r="H63" s="35" t="str">
        <f>VLOOKUP(G63,参数表!$B$3:$C$8,2,1)</f>
        <v>六级聘用制书记员</v>
      </c>
      <c r="I63" s="39">
        <f>VLOOKUP(H63,参数表!$C$3:$D$8,2,0)</f>
        <v>1880</v>
      </c>
      <c r="J63" s="41">
        <f>VLOOKUP(D63,参数表!$G$3:$H$5,2,0)*1.2</f>
        <v>2016</v>
      </c>
      <c r="K63" s="39">
        <f t="shared" si="2"/>
        <v>20</v>
      </c>
      <c r="L63" s="39">
        <f t="shared" si="3"/>
        <v>5874</v>
      </c>
      <c r="M63" s="40" t="s">
        <v>317</v>
      </c>
      <c r="N63" s="40">
        <f>五险一金计算!$K$6</f>
        <v>985</v>
      </c>
      <c r="O63" s="40">
        <v>12</v>
      </c>
      <c r="P63" s="39">
        <f t="shared" si="4"/>
        <v>64686</v>
      </c>
    </row>
    <row r="64" spans="1:16" s="21" customFormat="1" ht="14.25">
      <c r="A64" s="30">
        <v>61</v>
      </c>
      <c r="B64" s="31" t="s">
        <v>5</v>
      </c>
      <c r="C64" s="37" t="s">
        <v>414</v>
      </c>
      <c r="D64" s="32" t="s">
        <v>353</v>
      </c>
      <c r="E64" s="32" t="s">
        <v>354</v>
      </c>
      <c r="F64" s="33">
        <v>43021</v>
      </c>
      <c r="G64" s="34">
        <f t="shared" si="1"/>
        <v>0</v>
      </c>
      <c r="H64" s="35" t="str">
        <f>VLOOKUP(G64,参数表!$B$3:$C$8,2,1)</f>
        <v>六级聘用制书记员</v>
      </c>
      <c r="I64" s="39">
        <f>VLOOKUP(H64,参数表!$C$3:$D$8,2,0)</f>
        <v>1880</v>
      </c>
      <c r="J64" s="41">
        <f>VLOOKUP(D64,参数表!$G$3:$H$5,2,0)*1.2</f>
        <v>2016</v>
      </c>
      <c r="K64" s="39">
        <f t="shared" si="2"/>
        <v>20</v>
      </c>
      <c r="L64" s="39">
        <f t="shared" si="3"/>
        <v>5874</v>
      </c>
      <c r="M64" s="40" t="s">
        <v>317</v>
      </c>
      <c r="N64" s="40">
        <f>五险一金计算!$K$6</f>
        <v>985</v>
      </c>
      <c r="O64" s="40">
        <v>12</v>
      </c>
      <c r="P64" s="39">
        <f t="shared" si="4"/>
        <v>64686</v>
      </c>
    </row>
    <row r="65" spans="1:16" s="21" customFormat="1" ht="14.25">
      <c r="A65" s="30">
        <v>62</v>
      </c>
      <c r="B65" s="31" t="s">
        <v>5</v>
      </c>
      <c r="C65" s="37" t="s">
        <v>415</v>
      </c>
      <c r="D65" s="32" t="s">
        <v>353</v>
      </c>
      <c r="E65" s="32" t="s">
        <v>354</v>
      </c>
      <c r="F65" s="33">
        <v>43021</v>
      </c>
      <c r="G65" s="34">
        <f t="shared" si="1"/>
        <v>0</v>
      </c>
      <c r="H65" s="35" t="str">
        <f>VLOOKUP(G65,参数表!$B$3:$C$8,2,1)</f>
        <v>六级聘用制书记员</v>
      </c>
      <c r="I65" s="39">
        <f>VLOOKUP(H65,参数表!$C$3:$D$8,2,0)</f>
        <v>1880</v>
      </c>
      <c r="J65" s="41">
        <f>VLOOKUP(D65,参数表!$G$3:$H$5,2,0)*1.2</f>
        <v>2016</v>
      </c>
      <c r="K65" s="39">
        <f t="shared" si="2"/>
        <v>20</v>
      </c>
      <c r="L65" s="39">
        <f t="shared" si="3"/>
        <v>5874</v>
      </c>
      <c r="M65" s="40" t="s">
        <v>317</v>
      </c>
      <c r="N65" s="40">
        <f>五险一金计算!$K$6</f>
        <v>985</v>
      </c>
      <c r="O65" s="40">
        <v>12</v>
      </c>
      <c r="P65" s="39">
        <f t="shared" si="4"/>
        <v>64686</v>
      </c>
    </row>
    <row r="66" spans="1:16" s="21" customFormat="1" ht="14.25">
      <c r="A66" s="30">
        <v>63</v>
      </c>
      <c r="B66" s="31" t="s">
        <v>5</v>
      </c>
      <c r="C66" s="37" t="s">
        <v>416</v>
      </c>
      <c r="D66" s="32" t="s">
        <v>353</v>
      </c>
      <c r="E66" s="32" t="s">
        <v>354</v>
      </c>
      <c r="F66" s="33">
        <v>43040</v>
      </c>
      <c r="G66" s="34">
        <f t="shared" si="1"/>
        <v>0</v>
      </c>
      <c r="H66" s="35" t="str">
        <f>VLOOKUP(G66,参数表!$B$3:$C$8,2,1)</f>
        <v>六级聘用制书记员</v>
      </c>
      <c r="I66" s="39">
        <f>VLOOKUP(H66,参数表!$C$3:$D$8,2,0)</f>
        <v>1880</v>
      </c>
      <c r="J66" s="41">
        <f>VLOOKUP(D66,参数表!$G$3:$H$5,2,0)*1.2</f>
        <v>2016</v>
      </c>
      <c r="K66" s="39">
        <f t="shared" si="2"/>
        <v>20</v>
      </c>
      <c r="L66" s="39">
        <f t="shared" si="3"/>
        <v>5874</v>
      </c>
      <c r="M66" s="40" t="s">
        <v>317</v>
      </c>
      <c r="N66" s="40">
        <f>五险一金计算!$K$6</f>
        <v>985</v>
      </c>
      <c r="O66" s="40">
        <v>12</v>
      </c>
      <c r="P66" s="39">
        <f t="shared" si="4"/>
        <v>64686</v>
      </c>
    </row>
    <row r="67" spans="1:16" s="21" customFormat="1" ht="14.25">
      <c r="A67" s="30">
        <v>64</v>
      </c>
      <c r="B67" s="31" t="s">
        <v>5</v>
      </c>
      <c r="C67" s="43" t="s">
        <v>417</v>
      </c>
      <c r="D67" s="32" t="s">
        <v>353</v>
      </c>
      <c r="E67" s="32" t="s">
        <v>354</v>
      </c>
      <c r="F67" s="33">
        <v>43208</v>
      </c>
      <c r="G67" s="34">
        <f t="shared" si="1"/>
        <v>0</v>
      </c>
      <c r="H67" s="35" t="str">
        <f>VLOOKUP(G67,参数表!$B$3:$C$8,2,1)</f>
        <v>六级聘用制书记员</v>
      </c>
      <c r="I67" s="39">
        <f>VLOOKUP(H67,参数表!$C$3:$D$8,2,0)</f>
        <v>1880</v>
      </c>
      <c r="J67" s="41">
        <f>VLOOKUP(D67,参数表!$G$3:$H$5,2,0)*1.2</f>
        <v>2016</v>
      </c>
      <c r="K67" s="39">
        <f t="shared" si="2"/>
        <v>0</v>
      </c>
      <c r="L67" s="39">
        <f t="shared" si="3"/>
        <v>5844</v>
      </c>
      <c r="M67" s="40" t="s">
        <v>317</v>
      </c>
      <c r="N67" s="40">
        <f>五险一金计算!$K$6</f>
        <v>985</v>
      </c>
      <c r="O67" s="40">
        <v>12</v>
      </c>
      <c r="P67" s="39">
        <f t="shared" si="4"/>
        <v>64416</v>
      </c>
    </row>
    <row r="68" spans="1:16" s="21" customFormat="1" ht="14.25">
      <c r="A68" s="30">
        <v>65</v>
      </c>
      <c r="B68" s="31" t="s">
        <v>5</v>
      </c>
      <c r="C68" s="43" t="s">
        <v>418</v>
      </c>
      <c r="D68" s="32" t="s">
        <v>353</v>
      </c>
      <c r="E68" s="32" t="s">
        <v>354</v>
      </c>
      <c r="F68" s="33">
        <v>43208</v>
      </c>
      <c r="G68" s="34">
        <f t="shared" si="1"/>
        <v>0</v>
      </c>
      <c r="H68" s="35" t="str">
        <f>VLOOKUP(G68,参数表!$B$3:$C$8,2,1)</f>
        <v>六级聘用制书记员</v>
      </c>
      <c r="I68" s="39">
        <f>VLOOKUP(H68,参数表!$C$3:$D$8,2,0)</f>
        <v>1880</v>
      </c>
      <c r="J68" s="41">
        <f>VLOOKUP(D68,参数表!$G$3:$H$5,2,0)*1.2</f>
        <v>2016</v>
      </c>
      <c r="K68" s="39">
        <f t="shared" si="2"/>
        <v>0</v>
      </c>
      <c r="L68" s="39">
        <f t="shared" si="3"/>
        <v>5844</v>
      </c>
      <c r="M68" s="40" t="s">
        <v>317</v>
      </c>
      <c r="N68" s="40">
        <f>五险一金计算!$K$6</f>
        <v>985</v>
      </c>
      <c r="O68" s="40">
        <v>12</v>
      </c>
      <c r="P68" s="39">
        <f t="shared" si="4"/>
        <v>64416</v>
      </c>
    </row>
    <row r="69" spans="1:16" s="21" customFormat="1" ht="14.25">
      <c r="A69" s="30">
        <v>66</v>
      </c>
      <c r="B69" s="31" t="s">
        <v>5</v>
      </c>
      <c r="C69" s="43" t="s">
        <v>419</v>
      </c>
      <c r="D69" s="32" t="s">
        <v>353</v>
      </c>
      <c r="E69" s="32" t="s">
        <v>354</v>
      </c>
      <c r="F69" s="33">
        <v>43208</v>
      </c>
      <c r="G69" s="34">
        <f t="shared" ref="G69:G80" si="5">DATEDIF(F69,"2018-9-1","Y")</f>
        <v>0</v>
      </c>
      <c r="H69" s="35" t="str">
        <f>VLOOKUP(G69,参数表!$B$3:$C$8,2,1)</f>
        <v>六级聘用制书记员</v>
      </c>
      <c r="I69" s="39">
        <f>VLOOKUP(H69,参数表!$C$3:$D$8,2,0)</f>
        <v>1880</v>
      </c>
      <c r="J69" s="41">
        <f>VLOOKUP(D69,参数表!$G$3:$H$5,2,0)*1.2</f>
        <v>2016</v>
      </c>
      <c r="K69" s="39">
        <f t="shared" ref="K69:K80" si="6">(2018-YEAR(F69))*20</f>
        <v>0</v>
      </c>
      <c r="L69" s="39">
        <f t="shared" ref="L69:L80" si="7">(I69+J69+K69)*1.5</f>
        <v>5844</v>
      </c>
      <c r="M69" s="40" t="s">
        <v>317</v>
      </c>
      <c r="N69" s="40">
        <f>五险一金计算!$K$6</f>
        <v>985</v>
      </c>
      <c r="O69" s="40">
        <v>12</v>
      </c>
      <c r="P69" s="39">
        <f t="shared" ref="P69:P80" si="8">SUM(I69:K69,N69)*O69+L69</f>
        <v>64416</v>
      </c>
    </row>
    <row r="70" spans="1:16" s="21" customFormat="1" ht="14.25">
      <c r="A70" s="30">
        <v>67</v>
      </c>
      <c r="B70" s="31" t="s">
        <v>5</v>
      </c>
      <c r="C70" s="43" t="s">
        <v>420</v>
      </c>
      <c r="D70" s="32" t="s">
        <v>353</v>
      </c>
      <c r="E70" s="32" t="s">
        <v>354</v>
      </c>
      <c r="F70" s="33">
        <v>43208</v>
      </c>
      <c r="G70" s="34">
        <f t="shared" si="5"/>
        <v>0</v>
      </c>
      <c r="H70" s="35" t="str">
        <f>VLOOKUP(G70,参数表!$B$3:$C$8,2,1)</f>
        <v>六级聘用制书记员</v>
      </c>
      <c r="I70" s="39">
        <f>VLOOKUP(H70,参数表!$C$3:$D$8,2,0)</f>
        <v>1880</v>
      </c>
      <c r="J70" s="41">
        <f>VLOOKUP(D70,参数表!$G$3:$H$5,2,0)*1.2</f>
        <v>2016</v>
      </c>
      <c r="K70" s="39">
        <f t="shared" si="6"/>
        <v>0</v>
      </c>
      <c r="L70" s="39">
        <f t="shared" si="7"/>
        <v>5844</v>
      </c>
      <c r="M70" s="40" t="s">
        <v>317</v>
      </c>
      <c r="N70" s="40">
        <f>五险一金计算!$K$6</f>
        <v>985</v>
      </c>
      <c r="O70" s="40">
        <v>12</v>
      </c>
      <c r="P70" s="39">
        <f t="shared" si="8"/>
        <v>64416</v>
      </c>
    </row>
    <row r="71" spans="1:16" s="21" customFormat="1" ht="14.25">
      <c r="A71" s="30">
        <v>68</v>
      </c>
      <c r="B71" s="31" t="s">
        <v>5</v>
      </c>
      <c r="C71" s="43" t="s">
        <v>421</v>
      </c>
      <c r="D71" s="32" t="s">
        <v>353</v>
      </c>
      <c r="E71" s="32" t="s">
        <v>354</v>
      </c>
      <c r="F71" s="33">
        <v>43208</v>
      </c>
      <c r="G71" s="34">
        <f t="shared" si="5"/>
        <v>0</v>
      </c>
      <c r="H71" s="35" t="str">
        <f>VLOOKUP(G71,参数表!$B$3:$C$8,2,1)</f>
        <v>六级聘用制书记员</v>
      </c>
      <c r="I71" s="39">
        <f>VLOOKUP(H71,参数表!$C$3:$D$8,2,0)</f>
        <v>1880</v>
      </c>
      <c r="J71" s="41">
        <f>VLOOKUP(D71,参数表!$G$3:$H$5,2,0)*1.2</f>
        <v>2016</v>
      </c>
      <c r="K71" s="39">
        <f t="shared" si="6"/>
        <v>0</v>
      </c>
      <c r="L71" s="39">
        <f t="shared" si="7"/>
        <v>5844</v>
      </c>
      <c r="M71" s="40" t="s">
        <v>317</v>
      </c>
      <c r="N71" s="40">
        <f>五险一金计算!$K$6</f>
        <v>985</v>
      </c>
      <c r="O71" s="40">
        <v>12</v>
      </c>
      <c r="P71" s="39">
        <f t="shared" si="8"/>
        <v>64416</v>
      </c>
    </row>
    <row r="72" spans="1:16" s="21" customFormat="1" ht="14.25">
      <c r="A72" s="30">
        <v>69</v>
      </c>
      <c r="B72" s="31" t="s">
        <v>5</v>
      </c>
      <c r="C72" s="43" t="s">
        <v>422</v>
      </c>
      <c r="D72" s="32" t="s">
        <v>353</v>
      </c>
      <c r="E72" s="32" t="s">
        <v>354</v>
      </c>
      <c r="F72" s="33">
        <v>43208</v>
      </c>
      <c r="G72" s="34">
        <f t="shared" si="5"/>
        <v>0</v>
      </c>
      <c r="H72" s="35" t="str">
        <f>VLOOKUP(G72,参数表!$B$3:$C$8,2,1)</f>
        <v>六级聘用制书记员</v>
      </c>
      <c r="I72" s="39">
        <f>VLOOKUP(H72,参数表!$C$3:$D$8,2,0)</f>
        <v>1880</v>
      </c>
      <c r="J72" s="41">
        <f>VLOOKUP(D72,参数表!$G$3:$H$5,2,0)*1.2</f>
        <v>2016</v>
      </c>
      <c r="K72" s="39">
        <f t="shared" si="6"/>
        <v>0</v>
      </c>
      <c r="L72" s="39">
        <f t="shared" si="7"/>
        <v>5844</v>
      </c>
      <c r="M72" s="40" t="s">
        <v>317</v>
      </c>
      <c r="N72" s="40">
        <f>五险一金计算!$K$6</f>
        <v>985</v>
      </c>
      <c r="O72" s="40">
        <v>12</v>
      </c>
      <c r="P72" s="39">
        <f t="shared" si="8"/>
        <v>64416</v>
      </c>
    </row>
    <row r="73" spans="1:16" s="21" customFormat="1" ht="14.25">
      <c r="A73" s="30">
        <v>70</v>
      </c>
      <c r="B73" s="31" t="s">
        <v>5</v>
      </c>
      <c r="C73" s="43" t="s">
        <v>423</v>
      </c>
      <c r="D73" s="32" t="s">
        <v>353</v>
      </c>
      <c r="E73" s="32" t="s">
        <v>354</v>
      </c>
      <c r="F73" s="33">
        <v>43208</v>
      </c>
      <c r="G73" s="34">
        <f t="shared" si="5"/>
        <v>0</v>
      </c>
      <c r="H73" s="35" t="str">
        <f>VLOOKUP(G73,参数表!$B$3:$C$8,2,1)</f>
        <v>六级聘用制书记员</v>
      </c>
      <c r="I73" s="39">
        <f>VLOOKUP(H73,参数表!$C$3:$D$8,2,0)</f>
        <v>1880</v>
      </c>
      <c r="J73" s="41">
        <f>VLOOKUP(D73,参数表!$G$3:$H$5,2,0)*1.2</f>
        <v>2016</v>
      </c>
      <c r="K73" s="39">
        <f t="shared" si="6"/>
        <v>0</v>
      </c>
      <c r="L73" s="39">
        <f t="shared" si="7"/>
        <v>5844</v>
      </c>
      <c r="M73" s="40" t="s">
        <v>317</v>
      </c>
      <c r="N73" s="40">
        <f>五险一金计算!$K$6</f>
        <v>985</v>
      </c>
      <c r="O73" s="40">
        <v>12</v>
      </c>
      <c r="P73" s="39">
        <f t="shared" si="8"/>
        <v>64416</v>
      </c>
    </row>
    <row r="74" spans="1:16" s="21" customFormat="1" ht="14.25">
      <c r="A74" s="30">
        <v>71</v>
      </c>
      <c r="B74" s="31" t="s">
        <v>5</v>
      </c>
      <c r="C74" s="43" t="s">
        <v>424</v>
      </c>
      <c r="D74" s="32" t="s">
        <v>353</v>
      </c>
      <c r="E74" s="32" t="s">
        <v>354</v>
      </c>
      <c r="F74" s="33">
        <v>43217</v>
      </c>
      <c r="G74" s="34">
        <f t="shared" si="5"/>
        <v>0</v>
      </c>
      <c r="H74" s="35" t="str">
        <f>VLOOKUP(G74,参数表!$B$3:$C$8,2,1)</f>
        <v>六级聘用制书记员</v>
      </c>
      <c r="I74" s="39">
        <f>VLOOKUP(H74,参数表!$C$3:$D$8,2,0)</f>
        <v>1880</v>
      </c>
      <c r="J74" s="41">
        <f>VLOOKUP(D74,参数表!$G$3:$H$5,2,0)*1.2</f>
        <v>2016</v>
      </c>
      <c r="K74" s="39">
        <f t="shared" si="6"/>
        <v>0</v>
      </c>
      <c r="L74" s="39">
        <f t="shared" si="7"/>
        <v>5844</v>
      </c>
      <c r="M74" s="40" t="s">
        <v>317</v>
      </c>
      <c r="N74" s="40">
        <f>五险一金计算!$K$6</f>
        <v>985</v>
      </c>
      <c r="O74" s="40">
        <v>12</v>
      </c>
      <c r="P74" s="39">
        <f t="shared" si="8"/>
        <v>64416</v>
      </c>
    </row>
    <row r="75" spans="1:16" s="21" customFormat="1" ht="14.25">
      <c r="A75" s="30">
        <v>72</v>
      </c>
      <c r="B75" s="31" t="s">
        <v>5</v>
      </c>
      <c r="C75" s="43" t="s">
        <v>425</v>
      </c>
      <c r="D75" s="32" t="s">
        <v>353</v>
      </c>
      <c r="E75" s="32" t="s">
        <v>354</v>
      </c>
      <c r="F75" s="33">
        <v>43217</v>
      </c>
      <c r="G75" s="34">
        <f t="shared" si="5"/>
        <v>0</v>
      </c>
      <c r="H75" s="35" t="str">
        <f>VLOOKUP(G75,参数表!$B$3:$C$8,2,1)</f>
        <v>六级聘用制书记员</v>
      </c>
      <c r="I75" s="39">
        <f>VLOOKUP(H75,参数表!$C$3:$D$8,2,0)</f>
        <v>1880</v>
      </c>
      <c r="J75" s="41">
        <f>VLOOKUP(D75,参数表!$G$3:$H$5,2,0)*1.2</f>
        <v>2016</v>
      </c>
      <c r="K75" s="39">
        <f t="shared" si="6"/>
        <v>0</v>
      </c>
      <c r="L75" s="39">
        <f t="shared" si="7"/>
        <v>5844</v>
      </c>
      <c r="M75" s="40" t="s">
        <v>317</v>
      </c>
      <c r="N75" s="40">
        <f>五险一金计算!$K$6</f>
        <v>985</v>
      </c>
      <c r="O75" s="40">
        <v>12</v>
      </c>
      <c r="P75" s="39">
        <f t="shared" si="8"/>
        <v>64416</v>
      </c>
    </row>
    <row r="76" spans="1:16" s="21" customFormat="1" ht="14.25">
      <c r="A76" s="30">
        <v>73</v>
      </c>
      <c r="B76" s="31" t="s">
        <v>5</v>
      </c>
      <c r="C76" s="43" t="s">
        <v>426</v>
      </c>
      <c r="D76" s="32" t="s">
        <v>353</v>
      </c>
      <c r="E76" s="32" t="s">
        <v>354</v>
      </c>
      <c r="F76" s="33">
        <v>43217</v>
      </c>
      <c r="G76" s="34">
        <f t="shared" si="5"/>
        <v>0</v>
      </c>
      <c r="H76" s="35" t="str">
        <f>VLOOKUP(G76,参数表!$B$3:$C$8,2,1)</f>
        <v>六级聘用制书记员</v>
      </c>
      <c r="I76" s="39">
        <f>VLOOKUP(H76,参数表!$C$3:$D$8,2,0)</f>
        <v>1880</v>
      </c>
      <c r="J76" s="41">
        <f>VLOOKUP(D76,参数表!$G$3:$H$5,2,0)*1.2</f>
        <v>2016</v>
      </c>
      <c r="K76" s="39">
        <f t="shared" si="6"/>
        <v>0</v>
      </c>
      <c r="L76" s="39">
        <f t="shared" si="7"/>
        <v>5844</v>
      </c>
      <c r="M76" s="40" t="s">
        <v>317</v>
      </c>
      <c r="N76" s="40">
        <f>五险一金计算!$K$6</f>
        <v>985</v>
      </c>
      <c r="O76" s="40">
        <v>12</v>
      </c>
      <c r="P76" s="39">
        <f t="shared" si="8"/>
        <v>64416</v>
      </c>
    </row>
    <row r="77" spans="1:16" s="21" customFormat="1" ht="14.25">
      <c r="A77" s="30">
        <v>74</v>
      </c>
      <c r="B77" s="31" t="s">
        <v>5</v>
      </c>
      <c r="C77" s="43" t="s">
        <v>427</v>
      </c>
      <c r="D77" s="32" t="s">
        <v>353</v>
      </c>
      <c r="E77" s="32" t="s">
        <v>354</v>
      </c>
      <c r="F77" s="33">
        <v>43234</v>
      </c>
      <c r="G77" s="34">
        <f t="shared" si="5"/>
        <v>0</v>
      </c>
      <c r="H77" s="35" t="str">
        <f>VLOOKUP(G77,参数表!$B$3:$C$8,2,1)</f>
        <v>六级聘用制书记员</v>
      </c>
      <c r="I77" s="39">
        <f>VLOOKUP(H77,参数表!$C$3:$D$8,2,0)</f>
        <v>1880</v>
      </c>
      <c r="J77" s="41">
        <f>VLOOKUP(D77,参数表!$G$3:$H$5,2,0)*1.2</f>
        <v>2016</v>
      </c>
      <c r="K77" s="39">
        <f t="shared" si="6"/>
        <v>0</v>
      </c>
      <c r="L77" s="39">
        <f t="shared" si="7"/>
        <v>5844</v>
      </c>
      <c r="M77" s="40" t="s">
        <v>317</v>
      </c>
      <c r="N77" s="40">
        <f>五险一金计算!$K$6</f>
        <v>985</v>
      </c>
      <c r="O77" s="40">
        <v>12</v>
      </c>
      <c r="P77" s="39">
        <f t="shared" si="8"/>
        <v>64416</v>
      </c>
    </row>
    <row r="78" spans="1:16" s="21" customFormat="1" ht="14.25">
      <c r="A78" s="30">
        <v>75</v>
      </c>
      <c r="B78" s="31" t="s">
        <v>5</v>
      </c>
      <c r="C78" s="43" t="s">
        <v>428</v>
      </c>
      <c r="D78" s="32" t="s">
        <v>353</v>
      </c>
      <c r="E78" s="32" t="s">
        <v>354</v>
      </c>
      <c r="F78" s="33">
        <v>43234</v>
      </c>
      <c r="G78" s="34">
        <f t="shared" si="5"/>
        <v>0</v>
      </c>
      <c r="H78" s="35" t="str">
        <f>VLOOKUP(G78,参数表!$B$3:$C$8,2,1)</f>
        <v>六级聘用制书记员</v>
      </c>
      <c r="I78" s="39">
        <f>VLOOKUP(H78,参数表!$C$3:$D$8,2,0)</f>
        <v>1880</v>
      </c>
      <c r="J78" s="41">
        <f>VLOOKUP(D78,参数表!$G$3:$H$5,2,0)*1.2</f>
        <v>2016</v>
      </c>
      <c r="K78" s="39">
        <f t="shared" si="6"/>
        <v>0</v>
      </c>
      <c r="L78" s="39">
        <f t="shared" si="7"/>
        <v>5844</v>
      </c>
      <c r="M78" s="40" t="s">
        <v>317</v>
      </c>
      <c r="N78" s="40">
        <f>五险一金计算!$K$6</f>
        <v>985</v>
      </c>
      <c r="O78" s="40">
        <v>12</v>
      </c>
      <c r="P78" s="39">
        <f t="shared" si="8"/>
        <v>64416</v>
      </c>
    </row>
    <row r="79" spans="1:16" s="21" customFormat="1" ht="14.25">
      <c r="A79" s="30">
        <v>76</v>
      </c>
      <c r="B79" s="31" t="s">
        <v>5</v>
      </c>
      <c r="C79" s="43" t="s">
        <v>429</v>
      </c>
      <c r="D79" s="32" t="s">
        <v>353</v>
      </c>
      <c r="E79" s="32" t="s">
        <v>354</v>
      </c>
      <c r="F79" s="33">
        <v>43234</v>
      </c>
      <c r="G79" s="34">
        <f t="shared" si="5"/>
        <v>0</v>
      </c>
      <c r="H79" s="35" t="str">
        <f>VLOOKUP(G79,参数表!$B$3:$C$8,2,1)</f>
        <v>六级聘用制书记员</v>
      </c>
      <c r="I79" s="39">
        <f>VLOOKUP(H79,参数表!$C$3:$D$8,2,0)</f>
        <v>1880</v>
      </c>
      <c r="J79" s="41">
        <f>VLOOKUP(D79,参数表!$G$3:$H$5,2,0)*1.2</f>
        <v>2016</v>
      </c>
      <c r="K79" s="39">
        <f t="shared" si="6"/>
        <v>0</v>
      </c>
      <c r="L79" s="39">
        <f t="shared" si="7"/>
        <v>5844</v>
      </c>
      <c r="M79" s="40" t="s">
        <v>317</v>
      </c>
      <c r="N79" s="40">
        <f>五险一金计算!$K$6</f>
        <v>985</v>
      </c>
      <c r="O79" s="40">
        <v>12</v>
      </c>
      <c r="P79" s="39">
        <f t="shared" si="8"/>
        <v>64416</v>
      </c>
    </row>
    <row r="80" spans="1:16" s="21" customFormat="1" ht="14.25">
      <c r="A80" s="30">
        <v>77</v>
      </c>
      <c r="B80" s="31" t="s">
        <v>5</v>
      </c>
      <c r="C80" s="43" t="s">
        <v>430</v>
      </c>
      <c r="D80" s="32" t="s">
        <v>353</v>
      </c>
      <c r="E80" s="32" t="s">
        <v>354</v>
      </c>
      <c r="F80" s="33">
        <v>43234</v>
      </c>
      <c r="G80" s="34">
        <f t="shared" si="5"/>
        <v>0</v>
      </c>
      <c r="H80" s="35" t="str">
        <f>VLOOKUP(G80,参数表!$B$3:$C$8,2,1)</f>
        <v>六级聘用制书记员</v>
      </c>
      <c r="I80" s="39">
        <f>VLOOKUP(H80,参数表!$C$3:$D$8,2,0)</f>
        <v>1880</v>
      </c>
      <c r="J80" s="41">
        <f>VLOOKUP(D80,参数表!$G$3:$H$5,2,0)*1.2</f>
        <v>2016</v>
      </c>
      <c r="K80" s="39">
        <f t="shared" si="6"/>
        <v>0</v>
      </c>
      <c r="L80" s="39">
        <f t="shared" si="7"/>
        <v>5844</v>
      </c>
      <c r="M80" s="40" t="s">
        <v>317</v>
      </c>
      <c r="N80" s="40">
        <f>五险一金计算!$K$6</f>
        <v>985</v>
      </c>
      <c r="O80" s="40">
        <v>12</v>
      </c>
      <c r="P80" s="39">
        <f t="shared" si="8"/>
        <v>64416</v>
      </c>
    </row>
  </sheetData>
  <autoFilter ref="A2:P80"/>
  <mergeCells count="1">
    <mergeCell ref="A3:B3"/>
  </mergeCells>
  <phoneticPr fontId="2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landscape"/>
  <headerFooter>
    <oddFooter>&amp;C第 &amp;P 页，共 &amp;N 页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5" sqref="J5"/>
    </sheetView>
  </sheetViews>
  <sheetFormatPr defaultColWidth="8.875" defaultRowHeight="13.5"/>
  <cols>
    <col min="1" max="2" width="8.875" style="6"/>
    <col min="3" max="3" width="17.25" style="6" customWidth="1"/>
    <col min="4" max="4" width="8.875" style="6"/>
    <col min="5" max="5" width="23.5" style="6" customWidth="1"/>
    <col min="6" max="6" width="8.875" style="6"/>
    <col min="7" max="7" width="19.75" style="6" customWidth="1"/>
    <col min="8" max="8" width="8.875" style="6"/>
    <col min="9" max="9" width="48.375" style="6" customWidth="1"/>
    <col min="10" max="10" width="14.5" style="6" customWidth="1"/>
    <col min="11" max="16384" width="8.875" style="6"/>
  </cols>
  <sheetData>
    <row r="1" spans="1:10">
      <c r="A1" s="6" t="s">
        <v>431</v>
      </c>
    </row>
    <row r="2" spans="1:10">
      <c r="B2" s="6" t="s">
        <v>432</v>
      </c>
      <c r="D2" s="6" t="s">
        <v>345</v>
      </c>
      <c r="G2" s="6" t="s">
        <v>433</v>
      </c>
      <c r="I2" s="6" t="s">
        <v>434</v>
      </c>
      <c r="J2" s="6" t="s">
        <v>435</v>
      </c>
    </row>
    <row r="3" spans="1:10">
      <c r="B3" s="6">
        <v>0</v>
      </c>
      <c r="C3" s="6" t="s">
        <v>436</v>
      </c>
      <c r="D3" s="6">
        <v>1880</v>
      </c>
      <c r="E3" s="6" t="s">
        <v>436</v>
      </c>
      <c r="G3" s="20" t="s">
        <v>353</v>
      </c>
      <c r="H3" s="20">
        <v>1680</v>
      </c>
      <c r="I3" s="6">
        <v>4405.5</v>
      </c>
      <c r="J3" s="6">
        <v>1958</v>
      </c>
    </row>
    <row r="4" spans="1:10">
      <c r="B4" s="6">
        <v>3</v>
      </c>
      <c r="C4" s="6" t="s">
        <v>437</v>
      </c>
      <c r="D4" s="6">
        <v>2180</v>
      </c>
      <c r="E4" s="6" t="s">
        <v>437</v>
      </c>
      <c r="G4" s="20" t="s">
        <v>438</v>
      </c>
      <c r="H4" s="20">
        <v>1580</v>
      </c>
      <c r="I4" s="6">
        <v>4270.5</v>
      </c>
      <c r="J4" s="6">
        <v>1898</v>
      </c>
    </row>
    <row r="5" spans="1:10">
      <c r="B5" s="6">
        <v>6</v>
      </c>
      <c r="C5" s="6" t="s">
        <v>439</v>
      </c>
      <c r="D5" s="6">
        <v>2580</v>
      </c>
      <c r="E5" s="6" t="s">
        <v>439</v>
      </c>
      <c r="G5" s="20" t="s">
        <v>440</v>
      </c>
      <c r="H5" s="20">
        <v>1480</v>
      </c>
      <c r="I5" s="6">
        <v>4135.5</v>
      </c>
      <c r="J5" s="6">
        <v>1838</v>
      </c>
    </row>
    <row r="6" spans="1:10">
      <c r="B6" s="6">
        <v>9</v>
      </c>
      <c r="C6" s="6" t="s">
        <v>441</v>
      </c>
      <c r="D6" s="6">
        <v>3080</v>
      </c>
      <c r="E6" s="6" t="s">
        <v>441</v>
      </c>
    </row>
    <row r="7" spans="1:10">
      <c r="B7" s="6">
        <v>13</v>
      </c>
      <c r="C7" s="6" t="s">
        <v>442</v>
      </c>
      <c r="D7" s="6">
        <v>3680</v>
      </c>
      <c r="E7" s="6" t="s">
        <v>442</v>
      </c>
    </row>
    <row r="8" spans="1:10">
      <c r="B8" s="6">
        <v>17</v>
      </c>
      <c r="C8" s="6" t="s">
        <v>443</v>
      </c>
      <c r="D8" s="6">
        <v>4380</v>
      </c>
      <c r="E8" s="6" t="s">
        <v>443</v>
      </c>
    </row>
  </sheetData>
  <phoneticPr fontId="26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8"/>
  <sheetViews>
    <sheetView zoomScale="115" zoomScaleNormal="115" workbookViewId="0">
      <selection activeCell="K4" sqref="K4"/>
    </sheetView>
  </sheetViews>
  <sheetFormatPr defaultColWidth="9" defaultRowHeight="13.5"/>
  <cols>
    <col min="1" max="1" width="8.875" customWidth="1"/>
    <col min="2" max="2" width="12.5" customWidth="1"/>
    <col min="3" max="3" width="10.375" customWidth="1"/>
    <col min="4" max="5" width="9.375" customWidth="1"/>
    <col min="6" max="7" width="9.75" customWidth="1"/>
    <col min="8" max="8" width="9.25" customWidth="1"/>
    <col min="9" max="9" width="10.5" customWidth="1"/>
    <col min="10" max="10" width="12" customWidth="1"/>
    <col min="11" max="11" width="11.125" customWidth="1"/>
    <col min="13" max="13" width="10.25" customWidth="1"/>
    <col min="14" max="14" width="12.375" customWidth="1"/>
    <col min="15" max="16" width="9.625" customWidth="1"/>
  </cols>
  <sheetData>
    <row r="1" spans="1:17" ht="36" customHeight="1">
      <c r="A1" s="2" t="str">
        <f>"聘用制书记员工资测算("&amp;VLOOKUP(B14,$A$15:$B$17,2,0)&amp;")"</f>
        <v>聘用制书记员工资测算(一类区)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ht="22.5" customHeight="1">
      <c r="A2" s="81" t="s">
        <v>444</v>
      </c>
      <c r="B2" s="78" t="s">
        <v>345</v>
      </c>
      <c r="C2" s="78"/>
      <c r="D2" s="78"/>
      <c r="E2" s="78" t="s">
        <v>347</v>
      </c>
      <c r="F2" s="78" t="s">
        <v>346</v>
      </c>
      <c r="G2" s="83" t="s">
        <v>445</v>
      </c>
      <c r="H2" s="78" t="s">
        <v>446</v>
      </c>
      <c r="I2" s="78" t="s">
        <v>447</v>
      </c>
      <c r="J2" s="78" t="s">
        <v>448</v>
      </c>
      <c r="K2" s="79" t="s">
        <v>449</v>
      </c>
    </row>
    <row r="3" spans="1:17" s="1" customFormat="1" ht="24" customHeight="1">
      <c r="A3" s="82"/>
      <c r="B3" s="3" t="s">
        <v>450</v>
      </c>
      <c r="C3" s="3" t="s">
        <v>451</v>
      </c>
      <c r="D3" s="3" t="s">
        <v>322</v>
      </c>
      <c r="E3" s="78"/>
      <c r="F3" s="78"/>
      <c r="G3" s="83"/>
      <c r="H3" s="78"/>
      <c r="I3" s="78"/>
      <c r="J3" s="78"/>
      <c r="K3" s="80"/>
      <c r="M3" s="16" t="s">
        <v>452</v>
      </c>
      <c r="N3" s="17" t="s">
        <v>453</v>
      </c>
      <c r="O3" s="16" t="s">
        <v>345</v>
      </c>
      <c r="P3" s="16" t="s">
        <v>454</v>
      </c>
      <c r="Q3" s="16" t="s">
        <v>343</v>
      </c>
    </row>
    <row r="4" spans="1:17" ht="24" customHeight="1">
      <c r="A4" s="4" t="s">
        <v>455</v>
      </c>
      <c r="B4" s="4">
        <v>1680</v>
      </c>
      <c r="C4" s="4">
        <f t="shared" ref="C4:C9" si="0">VLOOKUP(A4,$M$3:$Q$10,3,0)</f>
        <v>200</v>
      </c>
      <c r="D4" s="4">
        <f>B4+C4</f>
        <v>1880</v>
      </c>
      <c r="E4" s="4">
        <f t="shared" ref="E4:E9" si="1">VLOOKUP(A4,$M$4:$Q$10,5,0)*20</f>
        <v>20</v>
      </c>
      <c r="F4" s="4">
        <f>VLOOKUP($B$14,$A$15:$C$17,3,0)*1.2</f>
        <v>2016</v>
      </c>
      <c r="G4" s="5">
        <f>SUM(D4:F4)</f>
        <v>3916</v>
      </c>
      <c r="H4" s="4">
        <f t="shared" ref="H4:H6" si="2">SUM(D4:F4)*1.5</f>
        <v>5874</v>
      </c>
      <c r="I4" s="4">
        <f>H4/1.5*0.5</f>
        <v>1958</v>
      </c>
      <c r="J4" s="4">
        <f>H4/12</f>
        <v>489.5</v>
      </c>
      <c r="K4" s="18">
        <f>G4+J4</f>
        <v>4405.5</v>
      </c>
      <c r="L4">
        <f>0.1*D4</f>
        <v>188</v>
      </c>
      <c r="M4" s="4" t="s">
        <v>456</v>
      </c>
      <c r="N4" s="4">
        <v>700</v>
      </c>
      <c r="O4" s="4">
        <f t="shared" ref="O4:O8" si="3">N4+O5</f>
        <v>2700</v>
      </c>
      <c r="P4" s="4">
        <v>4</v>
      </c>
      <c r="Q4" s="4">
        <f t="shared" ref="Q4:Q8" si="4">P4+Q5</f>
        <v>18</v>
      </c>
    </row>
    <row r="5" spans="1:17" ht="24" customHeight="1">
      <c r="A5" s="4" t="s">
        <v>457</v>
      </c>
      <c r="B5" s="4">
        <v>1680</v>
      </c>
      <c r="C5" s="4">
        <f t="shared" si="0"/>
        <v>500</v>
      </c>
      <c r="D5" s="4">
        <f t="shared" ref="D5:D9" si="5">B5+C5</f>
        <v>2180</v>
      </c>
      <c r="E5" s="4">
        <f t="shared" si="1"/>
        <v>80</v>
      </c>
      <c r="F5" s="4">
        <f>VLOOKUP($B$14,$A$15:$C$17,3,0)*1.2</f>
        <v>2016</v>
      </c>
      <c r="G5" s="5">
        <f>SUM(D5:F5)</f>
        <v>4276</v>
      </c>
      <c r="H5" s="4">
        <f t="shared" si="2"/>
        <v>6414</v>
      </c>
      <c r="I5" s="4">
        <f t="shared" ref="I5:I9" si="6">H5/1.5*0.5</f>
        <v>2138</v>
      </c>
      <c r="J5" s="4">
        <f>H5/12</f>
        <v>534.5</v>
      </c>
      <c r="K5" s="18">
        <f t="shared" ref="K5:K9" si="7">G5+J5</f>
        <v>4810.5</v>
      </c>
      <c r="L5">
        <f t="shared" ref="L5:L9" si="8">0.1*D5</f>
        <v>218</v>
      </c>
      <c r="M5" s="4" t="s">
        <v>458</v>
      </c>
      <c r="N5" s="4">
        <v>600</v>
      </c>
      <c r="O5" s="4">
        <f t="shared" si="3"/>
        <v>2000</v>
      </c>
      <c r="P5" s="4">
        <v>4</v>
      </c>
      <c r="Q5" s="4">
        <f t="shared" si="4"/>
        <v>14</v>
      </c>
    </row>
    <row r="6" spans="1:17" ht="24" customHeight="1">
      <c r="A6" s="4" t="s">
        <v>459</v>
      </c>
      <c r="B6" s="4">
        <v>1680</v>
      </c>
      <c r="C6" s="4">
        <f t="shared" si="0"/>
        <v>900</v>
      </c>
      <c r="D6" s="4">
        <f t="shared" si="5"/>
        <v>2580</v>
      </c>
      <c r="E6" s="4">
        <f t="shared" si="1"/>
        <v>140</v>
      </c>
      <c r="F6" s="4">
        <f t="shared" ref="F6:F9" si="9">VLOOKUP($B$14,$A$15:$C$17,3,0)*1.2</f>
        <v>2016</v>
      </c>
      <c r="G6" s="5">
        <f t="shared" ref="G6:G9" si="10">SUM(D6:F6)</f>
        <v>4736</v>
      </c>
      <c r="H6" s="4">
        <f t="shared" si="2"/>
        <v>7104</v>
      </c>
      <c r="I6" s="4">
        <f t="shared" si="6"/>
        <v>2368</v>
      </c>
      <c r="J6" s="4">
        <f t="shared" ref="J6:J9" si="11">H6/12</f>
        <v>592</v>
      </c>
      <c r="K6" s="18">
        <f t="shared" si="7"/>
        <v>5328</v>
      </c>
      <c r="L6">
        <f t="shared" si="8"/>
        <v>258</v>
      </c>
      <c r="M6" s="4" t="s">
        <v>460</v>
      </c>
      <c r="N6" s="4">
        <v>500</v>
      </c>
      <c r="O6" s="4">
        <f t="shared" si="3"/>
        <v>1400</v>
      </c>
      <c r="P6" s="4">
        <v>3</v>
      </c>
      <c r="Q6" s="4">
        <f t="shared" si="4"/>
        <v>10</v>
      </c>
    </row>
    <row r="7" spans="1:17" ht="24" customHeight="1">
      <c r="A7" s="4" t="s">
        <v>460</v>
      </c>
      <c r="B7" s="4">
        <v>1680</v>
      </c>
      <c r="C7" s="4">
        <f t="shared" si="0"/>
        <v>1400</v>
      </c>
      <c r="D7" s="4">
        <f t="shared" si="5"/>
        <v>3080</v>
      </c>
      <c r="E7" s="4">
        <f t="shared" si="1"/>
        <v>200</v>
      </c>
      <c r="F7" s="4">
        <f t="shared" si="9"/>
        <v>2016</v>
      </c>
      <c r="G7" s="5">
        <f t="shared" si="10"/>
        <v>5296</v>
      </c>
      <c r="H7" s="4">
        <f t="shared" ref="H7:H9" si="12">SUM(D7:F7)*1.5</f>
        <v>7944</v>
      </c>
      <c r="I7" s="4">
        <f t="shared" si="6"/>
        <v>2648</v>
      </c>
      <c r="J7" s="4">
        <f t="shared" si="11"/>
        <v>662</v>
      </c>
      <c r="K7" s="18">
        <f t="shared" si="7"/>
        <v>5958</v>
      </c>
      <c r="L7">
        <f t="shared" si="8"/>
        <v>308</v>
      </c>
      <c r="M7" s="4" t="s">
        <v>459</v>
      </c>
      <c r="N7" s="4">
        <v>400</v>
      </c>
      <c r="O7" s="4">
        <f t="shared" si="3"/>
        <v>900</v>
      </c>
      <c r="P7" s="4">
        <v>3</v>
      </c>
      <c r="Q7" s="4">
        <f t="shared" si="4"/>
        <v>7</v>
      </c>
    </row>
    <row r="8" spans="1:17" ht="24" customHeight="1">
      <c r="A8" s="4" t="s">
        <v>458</v>
      </c>
      <c r="B8" s="4">
        <v>1680</v>
      </c>
      <c r="C8" s="4">
        <f t="shared" si="0"/>
        <v>2000</v>
      </c>
      <c r="D8" s="4">
        <f t="shared" si="5"/>
        <v>3680</v>
      </c>
      <c r="E8" s="4">
        <f t="shared" si="1"/>
        <v>280</v>
      </c>
      <c r="F8" s="4">
        <f t="shared" si="9"/>
        <v>2016</v>
      </c>
      <c r="G8" s="5">
        <f t="shared" si="10"/>
        <v>5976</v>
      </c>
      <c r="H8" s="4">
        <f t="shared" si="12"/>
        <v>8964</v>
      </c>
      <c r="I8" s="4">
        <f t="shared" si="6"/>
        <v>2988</v>
      </c>
      <c r="J8" s="4">
        <f t="shared" si="11"/>
        <v>747</v>
      </c>
      <c r="K8" s="18">
        <f t="shared" si="7"/>
        <v>6723</v>
      </c>
      <c r="L8">
        <f t="shared" si="8"/>
        <v>368</v>
      </c>
      <c r="M8" s="4" t="s">
        <v>457</v>
      </c>
      <c r="N8" s="4">
        <v>300</v>
      </c>
      <c r="O8" s="4">
        <f t="shared" si="3"/>
        <v>500</v>
      </c>
      <c r="P8" s="4">
        <v>3</v>
      </c>
      <c r="Q8" s="4">
        <f t="shared" si="4"/>
        <v>4</v>
      </c>
    </row>
    <row r="9" spans="1:17" ht="24" customHeight="1">
      <c r="A9" s="4" t="s">
        <v>456</v>
      </c>
      <c r="B9" s="4">
        <v>1680</v>
      </c>
      <c r="C9" s="4">
        <f t="shared" si="0"/>
        <v>2700</v>
      </c>
      <c r="D9" s="4">
        <f t="shared" si="5"/>
        <v>4380</v>
      </c>
      <c r="E9" s="4">
        <f t="shared" si="1"/>
        <v>360</v>
      </c>
      <c r="F9" s="4">
        <f t="shared" si="9"/>
        <v>2016</v>
      </c>
      <c r="G9" s="5">
        <f t="shared" si="10"/>
        <v>6756</v>
      </c>
      <c r="H9" s="4">
        <f t="shared" si="12"/>
        <v>10134</v>
      </c>
      <c r="I9" s="4">
        <f t="shared" si="6"/>
        <v>3378</v>
      </c>
      <c r="J9" s="4">
        <f t="shared" si="11"/>
        <v>844.5</v>
      </c>
      <c r="K9" s="18">
        <f t="shared" si="7"/>
        <v>7600.5</v>
      </c>
      <c r="L9">
        <f t="shared" si="8"/>
        <v>438</v>
      </c>
      <c r="M9" s="4" t="s">
        <v>455</v>
      </c>
      <c r="N9" s="4">
        <v>200</v>
      </c>
      <c r="O9" s="4">
        <v>200</v>
      </c>
      <c r="P9" s="4">
        <v>1</v>
      </c>
      <c r="Q9" s="19">
        <v>1</v>
      </c>
    </row>
    <row r="10" spans="1:17" ht="24" customHeight="1">
      <c r="B10" s="6"/>
      <c r="C10" s="6"/>
      <c r="D10" s="6"/>
      <c r="E10" s="6"/>
      <c r="F10" s="6"/>
      <c r="G10" s="6"/>
      <c r="H10" s="6"/>
      <c r="I10" s="6"/>
      <c r="J10" s="6"/>
      <c r="M10" s="4"/>
      <c r="N10" s="4"/>
      <c r="O10" s="4"/>
      <c r="P10" s="4"/>
      <c r="Q10" s="4"/>
    </row>
    <row r="12" spans="1:17">
      <c r="B12" s="6"/>
      <c r="C12" s="6"/>
      <c r="D12" s="6"/>
      <c r="E12" s="6"/>
      <c r="F12" s="6"/>
      <c r="G12" s="6"/>
      <c r="H12" s="6"/>
      <c r="I12" s="6"/>
      <c r="J12" s="6"/>
    </row>
    <row r="13" spans="1:17">
      <c r="B13" s="6"/>
      <c r="C13" s="6"/>
      <c r="D13" s="6"/>
      <c r="E13" s="6"/>
      <c r="F13" s="6"/>
      <c r="G13" s="6"/>
      <c r="H13" s="6"/>
      <c r="I13" s="6"/>
      <c r="J13" s="6"/>
    </row>
    <row r="14" spans="1:17" ht="21" customHeight="1">
      <c r="A14" s="7" t="s">
        <v>461</v>
      </c>
      <c r="B14" s="8">
        <v>1</v>
      </c>
      <c r="C14" s="9"/>
      <c r="D14" s="6"/>
      <c r="E14" s="6"/>
      <c r="F14" s="6"/>
      <c r="G14" s="10"/>
      <c r="H14" s="6"/>
      <c r="I14" s="6"/>
      <c r="J14" s="6"/>
    </row>
    <row r="15" spans="1:17" ht="21" customHeight="1">
      <c r="A15" s="11">
        <v>1</v>
      </c>
      <c r="B15" s="4" t="s">
        <v>353</v>
      </c>
      <c r="C15" s="12">
        <v>1680</v>
      </c>
      <c r="D15" s="6"/>
      <c r="E15" s="6"/>
      <c r="F15" s="6"/>
      <c r="G15" s="10"/>
      <c r="H15" s="6"/>
      <c r="I15" s="6"/>
      <c r="J15" s="6"/>
    </row>
    <row r="16" spans="1:17" ht="21" customHeight="1">
      <c r="A16" s="11">
        <v>2</v>
      </c>
      <c r="B16" s="4" t="s">
        <v>438</v>
      </c>
      <c r="C16" s="12">
        <v>1580</v>
      </c>
      <c r="D16" s="6"/>
      <c r="E16" s="6"/>
      <c r="F16" s="6"/>
      <c r="G16" s="6"/>
      <c r="H16" s="6"/>
      <c r="I16" s="6"/>
      <c r="J16" s="6"/>
    </row>
    <row r="17" spans="1:10" ht="21" customHeight="1">
      <c r="A17" s="13">
        <v>3</v>
      </c>
      <c r="B17" s="14" t="s">
        <v>440</v>
      </c>
      <c r="C17" s="15">
        <v>1480</v>
      </c>
      <c r="D17" s="6"/>
      <c r="E17" s="6"/>
      <c r="F17" s="6"/>
      <c r="G17" s="6"/>
      <c r="H17" s="6"/>
      <c r="I17" s="6"/>
      <c r="J17" s="6"/>
    </row>
    <row r="18" spans="1:10" ht="21" customHeight="1">
      <c r="B18" s="6"/>
      <c r="C18" s="6"/>
      <c r="D18" s="6"/>
      <c r="E18" s="6"/>
      <c r="F18" s="6"/>
      <c r="G18" s="6"/>
      <c r="H18" s="6"/>
      <c r="I18" s="6"/>
      <c r="J18" s="6"/>
    </row>
  </sheetData>
  <mergeCells count="9">
    <mergeCell ref="I2:I3"/>
    <mergeCell ref="J2:J3"/>
    <mergeCell ref="K2:K3"/>
    <mergeCell ref="B2:D2"/>
    <mergeCell ref="A2:A3"/>
    <mergeCell ref="E2:E3"/>
    <mergeCell ref="F2:F3"/>
    <mergeCell ref="G2:G3"/>
    <mergeCell ref="H2:H3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blackAndWhite="1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Sheet1</vt:lpstr>
      <vt:lpstr>五险一金计算</vt:lpstr>
      <vt:lpstr>计划表</vt:lpstr>
      <vt:lpstr>名册</vt:lpstr>
      <vt:lpstr>参数表</vt:lpstr>
      <vt:lpstr>月工资</vt:lpstr>
      <vt:lpstr>Sheet2</vt:lpstr>
      <vt:lpstr>Sheet3</vt:lpstr>
      <vt:lpstr>五险一金计算!Print_Area</vt:lpstr>
      <vt:lpstr>月工资!Print_Area</vt:lpstr>
      <vt:lpstr>计划表!Print_Titles</vt:lpstr>
      <vt:lpstr>名册!Print_Titles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安中国</dc:creator>
  <cp:lastModifiedBy>zhw</cp:lastModifiedBy>
  <cp:lastPrinted>2020-07-01T07:57:39Z</cp:lastPrinted>
  <dcterms:created xsi:type="dcterms:W3CDTF">2017-08-25T07:40:00Z</dcterms:created>
  <dcterms:modified xsi:type="dcterms:W3CDTF">2020-08-17T02:37:36Z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